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5" windowHeight="7890" activeTab="0"/>
  </bookViews>
  <sheets>
    <sheet name="GaNCH-partial-query" sheetId="1" r:id="rId1"/>
  </sheets>
  <externalReferences>
    <externalReference r:id="rId4"/>
  </externalReferences>
  <definedNames>
    <definedName name="_xlnm.Print_Area" localSheetId="0">'GaNCH-partial-query'!$A$1:$H$1585</definedName>
    <definedName name="_xlnm.Print_Titles" localSheetId="0">'GaNCH-partial-query'!$A:$A,'GaNCH-partial-query'!$1:$1</definedName>
  </definedNames>
  <calcPr fullCalcOnLoad="1"/>
</workbook>
</file>

<file path=xl/sharedStrings.xml><?xml version="1.0" encoding="utf-8"?>
<sst xmlns="http://schemas.openxmlformats.org/spreadsheetml/2006/main" count="6029" uniqueCount="5772">
  <si>
    <t>Ice House Museum</t>
  </si>
  <si>
    <t>Point(-81.473328 30.754407)</t>
  </si>
  <si>
    <t>Cumberland Island National Seashore Museum</t>
  </si>
  <si>
    <t>129 Osborne St. St. Marys, GA 31558</t>
  </si>
  <si>
    <t>Point(-81.548621 30.72145)</t>
  </si>
  <si>
    <t>Nathanael Greene Monument</t>
  </si>
  <si>
    <t>Point(-81.091583333 32.079916666)</t>
  </si>
  <si>
    <t>Computer Museum of America</t>
  </si>
  <si>
    <t>5000 Commerce Pkwy, Roswell, GA 30076</t>
  </si>
  <si>
    <t>Point(-84.3402539 34.038543)</t>
  </si>
  <si>
    <t>Kennesaw Mountain National Battlefield Park Visitor Center</t>
  </si>
  <si>
    <t>Point(-84.57797 33.983076)</t>
  </si>
  <si>
    <t>Evans County African American Archive Museum</t>
  </si>
  <si>
    <t>720 Church Street, Claxton, GA 30417</t>
  </si>
  <si>
    <t>Point(-81.913984296 32.173901354)</t>
  </si>
  <si>
    <t>Middle Georgia Archives</t>
  </si>
  <si>
    <t>1180 Washington Avenue, Macon, GA 31201</t>
  </si>
  <si>
    <t>Point(-83.638761111 32.838819444)</t>
  </si>
  <si>
    <t>Copeland African American Musuem</t>
  </si>
  <si>
    <t>Thaxton Hall, Suite 200, 2525 N Patterson St, Valdosta, GA 31698</t>
  </si>
  <si>
    <t>Point(-83.2877441 30.8642189)</t>
  </si>
  <si>
    <t>Expedition Bigfoot! :The Sasquatch Museum</t>
  </si>
  <si>
    <t>1934 Hwy 515, Blue Ridge, GA 30513</t>
  </si>
  <si>
    <t>Point(-84.376087996 34.802379607)</t>
  </si>
  <si>
    <t>Eleanor Roosevelt School</t>
  </si>
  <si>
    <t>350 Parham Street, Warm Springs, Georgia, U.S.</t>
  </si>
  <si>
    <t>Point(-84.685169 32.898978)</t>
  </si>
  <si>
    <t>Johnny Mize Athletic Center &amp; Museum</t>
  </si>
  <si>
    <t>280 Laurel Avenue, Demorest, Georgia 30535</t>
  </si>
  <si>
    <t>Point(-83.5489922 34.5641689)</t>
  </si>
  <si>
    <t>A. D. Strickland Store</t>
  </si>
  <si>
    <t>1385 Dawnville Road, Dalton, Georgia</t>
  </si>
  <si>
    <t>Point(-84.974444 34.767778)</t>
  </si>
  <si>
    <t>William D. Cowdry Plantation</t>
  </si>
  <si>
    <t>35 Rome Road, Cave Spring, Georgia, United States</t>
  </si>
  <si>
    <t>Point(-85.336111111 34.116944444)</t>
  </si>
  <si>
    <t>Robert Craig Plantation</t>
  </si>
  <si>
    <t>1504 Five Forks Trickum Road, Lawrenceville, Georgia, United States</t>
  </si>
  <si>
    <t>Point(-84.016388888 33.906944444)</t>
  </si>
  <si>
    <t>Francis Plantation</t>
  </si>
  <si>
    <t>Josey Church Road, Davisboro, Georgia, United States</t>
  </si>
  <si>
    <t>Point(-82.5575 32.931388888)</t>
  </si>
  <si>
    <t>Sparta, Georgia, United States</t>
  </si>
  <si>
    <t>John S. Jackson Plantation</t>
  </si>
  <si>
    <t>White Plains, Georgia, United States</t>
  </si>
  <si>
    <t>Point(-83.088055555 33.405)</t>
  </si>
  <si>
    <t>Odessadale, Georgia</t>
  </si>
  <si>
    <t>Point(-84.817777777 33.023611111)</t>
  </si>
  <si>
    <t>Point(-84.38 32.644166666)</t>
  </si>
  <si>
    <t>Peter W. Printup Plantation</t>
  </si>
  <si>
    <t>Union Point, Georgia</t>
  </si>
  <si>
    <t>Point(-83.093333333 33.611111111)</t>
  </si>
  <si>
    <t>Nathaniel Prothro Plantation</t>
  </si>
  <si>
    <t>Point(-84.650555555 32.101388888)</t>
  </si>
  <si>
    <t>Richmond Hill Plantation (Richmond Hill, Georgia)</t>
  </si>
  <si>
    <t>Ford Neck Road, Richmond Hill, Georgia</t>
  </si>
  <si>
    <t>Point(-81.276111111 31.924722222)</t>
  </si>
  <si>
    <t>2154 GA-30 W, Americus, Georgia</t>
  </si>
  <si>
    <t>Point(-84.396944444 32.152222222)</t>
  </si>
  <si>
    <t>Thornton Plantation</t>
  </si>
  <si>
    <t>Pine Mountain, Georgia</t>
  </si>
  <si>
    <t>Point(-85.001111111 32.811666666)</t>
  </si>
  <si>
    <t>Wimberly Plantation</t>
  </si>
  <si>
    <t>Jefferson, Georgia</t>
  </si>
  <si>
    <t>Point(-83.3675 32.638055555)</t>
  </si>
  <si>
    <t>Fly on a Wall</t>
  </si>
  <si>
    <t>1342 Lucile Avenue SW, Atlanta, GA 30310</t>
  </si>
  <si>
    <t>Point(-84.431721155 33.742066619)</t>
  </si>
  <si>
    <t>Columbus Collective Museums</t>
  </si>
  <si>
    <t>3218 Hamilton Rd. Columbus, GA 31904</t>
  </si>
  <si>
    <t>Point(-84.979639741 32.494245928)</t>
  </si>
  <si>
    <t>Sugar Hill Art Gallery and History Museum</t>
  </si>
  <si>
    <t>5039 W. Broad St., Sugar Hill, Georgia, USA</t>
  </si>
  <si>
    <t>Point(-84.0367442 34.1068841)</t>
  </si>
  <si>
    <t>Sugar Hill Historic Preservation Society</t>
  </si>
  <si>
    <t>5039 West Broad Street, Sugar Hill, GA, USA</t>
  </si>
  <si>
    <t>Sugar Hill Arts Commission</t>
  </si>
  <si>
    <t>Augusta Jewish Museum</t>
  </si>
  <si>
    <t>525 Telfair Street, Augusta, Ga 30901</t>
  </si>
  <si>
    <t>Point(-81.9612957 33.4705082)</t>
  </si>
  <si>
    <t>Doug Sanders Golf Museum</t>
  </si>
  <si>
    <t>117 Woodland Street, Cedartown, Georgia 30125</t>
  </si>
  <si>
    <t>Point(-85.2546225 34.0121486)</t>
  </si>
  <si>
    <t>Cedartown Museum of Coca-Cola Memorabilia</t>
  </si>
  <si>
    <t>209 South Main Street, Cedartown, GA 30125</t>
  </si>
  <si>
    <t>Historic Sinclair Station</t>
  </si>
  <si>
    <t>700 Carroll St, Perry, GA 31069</t>
  </si>
  <si>
    <t>Point(-83.7378807 32.4565967)</t>
  </si>
  <si>
    <t>Telling Our Story Black History Museum</t>
  </si>
  <si>
    <t>Monroe County Middle School William M. Hubbard Campus, 500 GA-83, Forsyth, GA 31029</t>
  </si>
  <si>
    <t>Point(-83.9534197 33.0216748)</t>
  </si>
  <si>
    <t>ARTS Southeast</t>
  </si>
  <si>
    <t>2301 Bull Street, Savannah, GA 31401</t>
  </si>
  <si>
    <t>Point(-81.10118 32.055399)</t>
  </si>
  <si>
    <t>Roosevelt Warm Springs Institute for Rehabilitation Archives</t>
  </si>
  <si>
    <t>6135 Roosevelt Highway, Warm Springs, Georgia 31830-2281</t>
  </si>
  <si>
    <t>Point(-84.6904789 32.8887211)</t>
  </si>
  <si>
    <t>Savoy Automobile Museum</t>
  </si>
  <si>
    <t>3 Savoy Lane, Cartersville, GA 30120</t>
  </si>
  <si>
    <t>Point(-84.7974233 34.2089048)</t>
  </si>
  <si>
    <t>Millennium Gate</t>
  </si>
  <si>
    <t>395 17th Street NW, Atlanta GA 30363</t>
  </si>
  <si>
    <t>Point(-84.3997 33.7911)</t>
  </si>
  <si>
    <t>Greene County African American Museum</t>
  </si>
  <si>
    <t>1415 Northeast Street, Greensboro, GA 30642</t>
  </si>
  <si>
    <t>Point(-83.1747611 33.5842193)</t>
  </si>
  <si>
    <t>That Great Gretsch Sound! Museum</t>
  </si>
  <si>
    <t>Point(-81.0959422 32.0834082)</t>
  </si>
  <si>
    <t>Kennesaw State University Library System</t>
  </si>
  <si>
    <t>Kiah House Museum</t>
  </si>
  <si>
    <t>505 W 36th St, Savannah, GA 31415</t>
  </si>
  <si>
    <t>Point(-81.1050017 32.0587619)</t>
  </si>
  <si>
    <t>Old Car City U.S.A.</t>
  </si>
  <si>
    <t>3098 HWY 411 NE, White, GA 30184</t>
  </si>
  <si>
    <t>Point(-84.7521363 34.2695675)</t>
  </si>
  <si>
    <t>Georgia Bureau of Investigation Crime Lab Museum</t>
  </si>
  <si>
    <t>3121 Panthersville Rd, Decatur, GA 30034</t>
  </si>
  <si>
    <t>Point(-84.2745887 33.6928774)</t>
  </si>
  <si>
    <t>Ocmulgee Mounds Visitor Center</t>
  </si>
  <si>
    <t>Point(-83.603716771 32.842633041)</t>
  </si>
  <si>
    <t>African Textile Museum</t>
  </si>
  <si>
    <t>8109 Mall Pkwy, Stonecrest, GA 30038</t>
  </si>
  <si>
    <t>Point(-84.0925602 33.6907893)</t>
  </si>
  <si>
    <t>Graveface Museum</t>
  </si>
  <si>
    <t>410 E Lower Factors Walk, Savannah GA 31401</t>
  </si>
  <si>
    <t>Point(-81.0869727 32.0803552)</t>
  </si>
  <si>
    <t>+1-912-335 8018</t>
  </si>
  <si>
    <t>Fairview Branch Library</t>
  </si>
  <si>
    <t>28 Austin Road, Stockbridge, GA 30281</t>
  </si>
  <si>
    <t>Point(-84.186694175 33.606759623)</t>
  </si>
  <si>
    <t>Centerville Branch</t>
  </si>
  <si>
    <t>206 Gunn Road, Centerville, GA 31028</t>
  </si>
  <si>
    <t>Point(-83.692276002 32.624294728)</t>
  </si>
  <si>
    <t>Porcelain and Decorative Arts Museum</t>
  </si>
  <si>
    <t>Point(-83.38353537 33.90179023)</t>
  </si>
  <si>
    <t>Richard B. Russell Jr. Special Collections Library</t>
  </si>
  <si>
    <t>Coastal Georgia Genealogical Society</t>
  </si>
  <si>
    <t>515 Waterstone Circle, Brunswick, GA 31525</t>
  </si>
  <si>
    <t>Point(-81.481960373 31.220634531)</t>
  </si>
  <si>
    <t>Ujima Genealogy of Coastal Georgia</t>
  </si>
  <si>
    <t>Fort Frederica National Monument</t>
  </si>
  <si>
    <t>6515 Frederica Road, St. Simons Island, GA 31522</t>
  </si>
  <si>
    <t>Point(-81.389282 31.223117)</t>
  </si>
  <si>
    <t>Fort Pulaski National Monument</t>
  </si>
  <si>
    <t>US-80, Savannah, GA 31410</t>
  </si>
  <si>
    <t>Point(-80.890487 32.02708)</t>
  </si>
  <si>
    <t>660 Peachtree Street NE, Atlanta, GA 30308</t>
  </si>
  <si>
    <t>Cannonball House (Macon, Georgia)</t>
  </si>
  <si>
    <t>856 Mulberry Street, Macon, GA 31201</t>
  </si>
  <si>
    <t>Point(-83.632176 32.839816)</t>
  </si>
  <si>
    <t>Henry W. Grady House</t>
  </si>
  <si>
    <t>634 Prince Street, Athens, GA 30601</t>
  </si>
  <si>
    <t>Point(-83.388243 33.961685)</t>
  </si>
  <si>
    <t>Horton House Historic Site</t>
  </si>
  <si>
    <t>Point(-81.4144 31.1019)</t>
  </si>
  <si>
    <t>Igbo Landing Historic Site</t>
  </si>
  <si>
    <t>Point(-81.3872 31.1872)</t>
  </si>
  <si>
    <t>Jarrell Plantation State Historic Site</t>
  </si>
  <si>
    <t>711 Jarrell Plantation Road, Juliette, GA 31046</t>
  </si>
  <si>
    <t>Point(-83.723403 33.052861)</t>
  </si>
  <si>
    <t>Monroe F. Swilley, Jr. Library</t>
  </si>
  <si>
    <t>3001 Mercer University Drive, Atlanta, GA 30341</t>
  </si>
  <si>
    <t>Point(-84.262148 33.873942)</t>
  </si>
  <si>
    <t>Ocmulgee Mounds National Historical Park</t>
  </si>
  <si>
    <t>1207 Emery Highway, Macon, GA 31217</t>
  </si>
  <si>
    <t>Point(-83.605066 32.8411)</t>
  </si>
  <si>
    <t>Alexander Hotel</t>
  </si>
  <si>
    <t>120 West Brazell Street, Reidsville, GA 30453</t>
  </si>
  <si>
    <t>Point(-82.119431 32.085872)</t>
  </si>
  <si>
    <t>Allman Brothers and Band Museum</t>
  </si>
  <si>
    <t>2321 Vineville Avenue, Macon, GA 31204</t>
  </si>
  <si>
    <t>Point(-83.6559137 32.845988)</t>
  </si>
  <si>
    <t>Auburn Avenue Research Library on African American Culture and History</t>
  </si>
  <si>
    <t>101 Auburn Avenue NE, Atlanta, GA 30303</t>
  </si>
  <si>
    <t>Point(-84.383869 33.755251)</t>
  </si>
  <si>
    <t>Blue and Gray Museum</t>
  </si>
  <si>
    <t>116 North Johnson Street, Fitzgerald, GA 31750</t>
  </si>
  <si>
    <t>Point(-83.257877 31.715731)</t>
  </si>
  <si>
    <t>Lowndes County Historical Society Museum</t>
  </si>
  <si>
    <t>305 West Central Avenue, Valdosta, GA, 31601</t>
  </si>
  <si>
    <t>Point(-83.2828 30.8306)</t>
  </si>
  <si>
    <t>42 Lumpkin Street, Hawkinsville, GA 31036</t>
  </si>
  <si>
    <t>Point(-83.468335 32.282224)</t>
  </si>
  <si>
    <t>Pickett's Mill Battlefield Site</t>
  </si>
  <si>
    <t>4432 Mount Tabor Church Road, Dallas, GA 30157</t>
  </si>
  <si>
    <t>Point(-84.759683 33.97345)</t>
  </si>
  <si>
    <t>Poulan Library</t>
  </si>
  <si>
    <t>110-170 W Church St, Poulan, GA 31781</t>
  </si>
  <si>
    <t>Point(-83.788272 31.513183)</t>
  </si>
  <si>
    <t>Southeastern Quilt &amp; Textile Museum</t>
  </si>
  <si>
    <t>306 Bradley Street, Suite C, Carrollton, GA 30117</t>
  </si>
  <si>
    <t>Point(-85.074847 33.578135)</t>
  </si>
  <si>
    <t>The Crescent (Valdosta, Georgia)</t>
  </si>
  <si>
    <t>904 North Patterson Street, Valdosta, GA 31604</t>
  </si>
  <si>
    <t>Point(-83.284053 30.839453)</t>
  </si>
  <si>
    <t>Villa Albicini</t>
  </si>
  <si>
    <t>150 Tucker Road, Macon, GA 31210</t>
  </si>
  <si>
    <t>Point(-83.7114 32.8736)</t>
  </si>
  <si>
    <t>Liberty Hall Plantation</t>
  </si>
  <si>
    <t>Point(-84.20583333 31.95305556)</t>
  </si>
  <si>
    <t>Washington County Courthouse</t>
  </si>
  <si>
    <t>132 West Haynes Street, Sandersville, GA 31082</t>
  </si>
  <si>
    <t>Point(-82.811638 32.983508)</t>
  </si>
  <si>
    <t>Crestwood</t>
  </si>
  <si>
    <t>Point(-83.3025 30.86944444)</t>
  </si>
  <si>
    <t>Heard County Jail</t>
  </si>
  <si>
    <t>161 Shady Street, Franklin, GA 30217</t>
  </si>
  <si>
    <t>Point(-85.099242 33.280497)</t>
  </si>
  <si>
    <t>National Black Golf Hall of Fame</t>
  </si>
  <si>
    <t>Point(-84.3473 33.75856)</t>
  </si>
  <si>
    <t>2619 Vineville Ave., Macon, GA 31204</t>
  </si>
  <si>
    <t>Point(-83.663142 32.846328)</t>
  </si>
  <si>
    <t>John James Jones House</t>
  </si>
  <si>
    <t>Point(-82.01888889 33.08611111)</t>
  </si>
  <si>
    <t>The Cedars</t>
  </si>
  <si>
    <t>Point(-82.737845 33.741016)</t>
  </si>
  <si>
    <t>Mitchell Depot Historical Museum</t>
  </si>
  <si>
    <t>Point(-82.7037853 33.2185703)</t>
  </si>
  <si>
    <t>Georgia Museum of Agriculture &amp; Historic Village</t>
  </si>
  <si>
    <t>1392 Whiddon Mill Road, Tifton, GA 31793</t>
  </si>
  <si>
    <t>Point(-83.532406 31.466893)</t>
  </si>
  <si>
    <t>Georgia Archives</t>
  </si>
  <si>
    <t>5800 Jonesboro Road, Morrow, GA 30260</t>
  </si>
  <si>
    <t>Point(-84.336753 33.596894)</t>
  </si>
  <si>
    <t>950 Forrest Street, Roswell, GA 30075</t>
  </si>
  <si>
    <t>Boyd and Sallie Gilleland House</t>
  </si>
  <si>
    <t>Point(-84.11888889 34.41805556)</t>
  </si>
  <si>
    <t>Robert W. Woodruff Library</t>
  </si>
  <si>
    <t>540 Asbury Circle, Atlanta, GA 30322</t>
  </si>
  <si>
    <t>Point(-84.3229 33.7904)</t>
  </si>
  <si>
    <t>Thronateeska Heritage Center</t>
  </si>
  <si>
    <t>100 West Roosevelt Avenue, Albany, GA 31701</t>
  </si>
  <si>
    <t>Point(-84.149821 31.581812)</t>
  </si>
  <si>
    <t>Washington-Wilkes Historical Museum</t>
  </si>
  <si>
    <t>308 East Robert Toombs Avenue, Washington, GA 30673</t>
  </si>
  <si>
    <t>Point(-82.732089 33.735264)</t>
  </si>
  <si>
    <t>Sidney Lanier Cottage</t>
  </si>
  <si>
    <t>935 High Street, Macon, GA 31201</t>
  </si>
  <si>
    <t>Point(-83.636326 32.837624)</t>
  </si>
  <si>
    <t>Gwinnett Environmental &amp; Heritage Center</t>
  </si>
  <si>
    <t>2020 Cleanwater Drive, Buford, GA 30519</t>
  </si>
  <si>
    <t>Point(-84.005084 34.06398)</t>
  </si>
  <si>
    <t>Jeremiah S. Gilbert House</t>
  </si>
  <si>
    <t>2238 Perkerson Road</t>
  </si>
  <si>
    <t>Point(-84.4108 33.6936)</t>
  </si>
  <si>
    <t>Flannery O'Connor Childhood Home</t>
  </si>
  <si>
    <t>207 East Charlton Street, Savannah, GA 31401</t>
  </si>
  <si>
    <t>Point(-81.091488 32.0724)</t>
  </si>
  <si>
    <t>Dauset Trails Nature Center</t>
  </si>
  <si>
    <t>Point(-83.9444 33.2339)</t>
  </si>
  <si>
    <t>Funk Heritage Center</t>
  </si>
  <si>
    <t>7300 Reinhardt Circle, Waleska, GA 30183</t>
  </si>
  <si>
    <t>Point(-84.549722222 34.321083333)</t>
  </si>
  <si>
    <t>Jepson Center for the Arts</t>
  </si>
  <si>
    <t>207 West York Street, Savannah, GA 31401</t>
  </si>
  <si>
    <t>Point(-81.095169 32.077904)</t>
  </si>
  <si>
    <t>Arabia Mountain National Heritage Area</t>
  </si>
  <si>
    <t>Point(-84.11964821 33.667810251)</t>
  </si>
  <si>
    <t>World of Coca-Cola</t>
  </si>
  <si>
    <t>121 Baker Street NW, Atlanta, GA 30313</t>
  </si>
  <si>
    <t>Point(-84.3928 33.7628)</t>
  </si>
  <si>
    <t>Hofwyl-Broadfield Plantation</t>
  </si>
  <si>
    <t>5556 US Hwy 17 North, Brunswick, GA 31525</t>
  </si>
  <si>
    <t>Point(-81.460383 31.304883)</t>
  </si>
  <si>
    <t>Georgia Salzburger Society</t>
  </si>
  <si>
    <t>2980 Ebenezer Road, Rincon, GA 31326</t>
  </si>
  <si>
    <t>Point(-81.18141 32.377039)</t>
  </si>
  <si>
    <t>Telfair Museums</t>
  </si>
  <si>
    <t>Point(-81.0953 32.0789)</t>
  </si>
  <si>
    <t>Fields Place-Vickery House</t>
  </si>
  <si>
    <t>West Main Street, Dahlonega, GA 30533</t>
  </si>
  <si>
    <t>Point(-83.987957 34.5304)</t>
  </si>
  <si>
    <t>Ashantilly</t>
  </si>
  <si>
    <t>15591 GA Highway 99, Darien, GA 31305</t>
  </si>
  <si>
    <t>Point(-81.413105 31.381153)</t>
  </si>
  <si>
    <t>SCAD Museum of Art</t>
  </si>
  <si>
    <t>601 Turner Boulevard, Savannah, GA 31401</t>
  </si>
  <si>
    <t>Point(-81.100108 32.077779)</t>
  </si>
  <si>
    <t>Roselawn Museum</t>
  </si>
  <si>
    <t>224 West Cherokee Avenue, Cartersville, GA 30120</t>
  </si>
  <si>
    <t>Point(-84.802666 34.165015)</t>
  </si>
  <si>
    <t>Little White House</t>
  </si>
  <si>
    <t>401 Little White House Rd, Warm Springs, GA 31830</t>
  </si>
  <si>
    <t>Point(-84.687648 32.881393)</t>
  </si>
  <si>
    <t>Pianos for Peace</t>
  </si>
  <si>
    <t>1795 Peachtree Street NE, Atlanta, GA 30309</t>
  </si>
  <si>
    <t>Point(-84.393161 33.803647)</t>
  </si>
  <si>
    <t>Carnegie Library of Moultrie</t>
  </si>
  <si>
    <t>39 North Main Street</t>
  </si>
  <si>
    <t>Point(-83.78916667 31.18055556)</t>
  </si>
  <si>
    <t>Northwest Georgia Regional Library System</t>
  </si>
  <si>
    <t>Forsyth County Public Library System</t>
  </si>
  <si>
    <t>585 Dahlonega Street, Cumming, GA 30040</t>
  </si>
  <si>
    <t>Fletcher Henderson House</t>
  </si>
  <si>
    <t>1016 Andrew Street</t>
  </si>
  <si>
    <t>Point(-84.79527778 31.76361111)</t>
  </si>
  <si>
    <t>Atlanta History Center</t>
  </si>
  <si>
    <t>130 West Paces Ferry Road NW, Atlanta, GA 30305</t>
  </si>
  <si>
    <t>Point(-84.3865305 33.8421169)</t>
  </si>
  <si>
    <t>National Archives at Atlanta</t>
  </si>
  <si>
    <t>5780 Jonesboro Road, Morrow, GA 30260</t>
  </si>
  <si>
    <t>Point(-84.337199 33.597626)</t>
  </si>
  <si>
    <t>Brunswick-Glynn County Library</t>
  </si>
  <si>
    <t>208 Gloucester Street, Brunswick, GA 31520</t>
  </si>
  <si>
    <t>Point(-81.495907 31.14842)</t>
  </si>
  <si>
    <t>Coastal Georgia Historical Society</t>
  </si>
  <si>
    <t>610 Beachview Drive, St. Simons Island, GA 31522</t>
  </si>
  <si>
    <t>Point(-81.393395 31.134326)</t>
  </si>
  <si>
    <t>Georgia Humanities Council</t>
  </si>
  <si>
    <t>50 Hurt Plaza Suite 595, Atlanta, GA 30303</t>
  </si>
  <si>
    <t>Point(-84.387166666 33.754166666)</t>
  </si>
  <si>
    <t>Historic Macon Foundation</t>
  </si>
  <si>
    <t>338 Poplar Street, Macon, GA 31201</t>
  </si>
  <si>
    <t>Point(-83.626198 32.832692)</t>
  </si>
  <si>
    <t>Ossabaw Island Foundation</t>
  </si>
  <si>
    <t>13040 Abercorn Street, Suite 20, Savannah, GA 31419</t>
  </si>
  <si>
    <t>Point(-81.168295 31.979483)</t>
  </si>
  <si>
    <t>Augusta-Richmond County Public Library System</t>
  </si>
  <si>
    <t>823 Telfair Street, Augusta, GA 30901</t>
  </si>
  <si>
    <t>Point(-81.968503 33.473243)</t>
  </si>
  <si>
    <t>Georgia Public Library Service</t>
  </si>
  <si>
    <t>2872 Woodcock Boulevard, Suite 250, Atlanta, GA 30341</t>
  </si>
  <si>
    <t>Point(-84.272316 33.876829)</t>
  </si>
  <si>
    <t>Jefferson County Library System</t>
  </si>
  <si>
    <t>306 E. Broad Street, Louisville, GA 30434</t>
  </si>
  <si>
    <t>Decatur Public Library</t>
  </si>
  <si>
    <t>215 Sycamore Street, Decatur, GA 30030</t>
  </si>
  <si>
    <t>Point(-84.294027777 33.774166666)</t>
  </si>
  <si>
    <t>Hart County Library</t>
  </si>
  <si>
    <t>150 Benson Street, Hartwell, GA 30643</t>
  </si>
  <si>
    <t>Point(-82.930786 34.349793)</t>
  </si>
  <si>
    <t>Elbert County Public Library</t>
  </si>
  <si>
    <t>Point(-82.859526 34.107382)</t>
  </si>
  <si>
    <t>Fitzgerald-Ben Hill County Library</t>
  </si>
  <si>
    <t>123 North Main Street, Fitzgerald, GA 31750</t>
  </si>
  <si>
    <t>Point(-83.253878 31.715746)</t>
  </si>
  <si>
    <t>Catoosa County Library</t>
  </si>
  <si>
    <t>108 Catoosa Circle, Ringgold, GA 30736</t>
  </si>
  <si>
    <t>Point(-85.181836 34.935448)</t>
  </si>
  <si>
    <t>Colquitt County Arts Center</t>
  </si>
  <si>
    <t>401 7th Avenue SW, Moultrie, GA 31768</t>
  </si>
  <si>
    <t>Point(-83.794248 31.172454)</t>
  </si>
  <si>
    <t>Brooks County Public Library</t>
  </si>
  <si>
    <t>404 Barwick Road, Quitman, GA 31643</t>
  </si>
  <si>
    <t>Point(-83.570786 30.788656)</t>
  </si>
  <si>
    <t>Roddenbery Memorial Library</t>
  </si>
  <si>
    <t>320 North Broad Street, Cairo, GA 39828</t>
  </si>
  <si>
    <t>Point(-84.207733 30.87957)</t>
  </si>
  <si>
    <t>Margaret Jones Public Library</t>
  </si>
  <si>
    <t>205 East Pope Street, Sylvester, GA 31791</t>
  </si>
  <si>
    <t>Point(-83.834328 31.529394)</t>
  </si>
  <si>
    <t>Mercer House</t>
  </si>
  <si>
    <t>429 Bull Street, Savannah, GA 31401</t>
  </si>
  <si>
    <t>Point(-81.0954 32.0713)</t>
  </si>
  <si>
    <t>Andrew Low House</t>
  </si>
  <si>
    <t>329 Abercorn Street, Savannah, GA 31401</t>
  </si>
  <si>
    <t>Point(-81.0925 32.073055555)</t>
  </si>
  <si>
    <t>Congregation Mickve Israel</t>
  </si>
  <si>
    <t>20 East Gordon Street, Savannah, GA 31402</t>
  </si>
  <si>
    <t>Point(-81.093978 32.071046)</t>
  </si>
  <si>
    <t>Jimmy Carter Library and Museum</t>
  </si>
  <si>
    <t>441 Freedom Parkway, Atlanta, GA 30307</t>
  </si>
  <si>
    <t>Point(-84.356308 33.766339)</t>
  </si>
  <si>
    <t>205 Indian Mounds Road, Blakely, GA 39823</t>
  </si>
  <si>
    <t>23 West Johnston Street, Forsyth, GA 31029</t>
  </si>
  <si>
    <t>Lavonia-Carnegie Library</t>
  </si>
  <si>
    <t>28 Hartwell Road, Lavonia, GA 30553</t>
  </si>
  <si>
    <t>Point(-83.10388889 34.43472222)</t>
  </si>
  <si>
    <t>Nacoochee Mound</t>
  </si>
  <si>
    <t>Point(-83.709 34.6834)</t>
  </si>
  <si>
    <t>Charles I. Kidd House</t>
  </si>
  <si>
    <t>304 West Howell Street</t>
  </si>
  <si>
    <t>Point(-82.93638889 34.35333333)</t>
  </si>
  <si>
    <t>Pitts Theology Library</t>
  </si>
  <si>
    <t>1531 Dickey Drive, Suite 560, Atlanta, GA 30322</t>
  </si>
  <si>
    <t>Point(-84.325968 33.791655)</t>
  </si>
  <si>
    <t>Horace W. Sturgis Library</t>
  </si>
  <si>
    <t>385 Cobb Avenue NW, Kennesaw, GA 30144</t>
  </si>
  <si>
    <t>Point(-84.583787 34.038309)</t>
  </si>
  <si>
    <t>Seby Jones Library</t>
  </si>
  <si>
    <t>107 Kincaid Drive, Toccoa Falls, GA 30598</t>
  </si>
  <si>
    <t>Point(-83.357052 34.593199)</t>
  </si>
  <si>
    <t>Etowah Indian Mounds</t>
  </si>
  <si>
    <t>813 Indian Mounds Road SW, Cartersville, GA 30120</t>
  </si>
  <si>
    <t>Point(-84.807064 34.128012)</t>
  </si>
  <si>
    <t>A. H. Stephens State Park</t>
  </si>
  <si>
    <t>456 Alexander Street NW, Crawfordville, GA 30631</t>
  </si>
  <si>
    <t>Point(-82.897156 33.563483)</t>
  </si>
  <si>
    <t>APEX Museum</t>
  </si>
  <si>
    <t>135 Auburn Ave. NE Atlanta, Georgia 30303</t>
  </si>
  <si>
    <t>Point(-84.3831 33.7553)</t>
  </si>
  <si>
    <t>McCurry-Kidd House</t>
  </si>
  <si>
    <t>602 West Howell Street</t>
  </si>
  <si>
    <t>Point(-82.939431 34.354618)</t>
  </si>
  <si>
    <t>Albany Museum of Art</t>
  </si>
  <si>
    <t>311 Meadowlark Drive, Albany, GA 31707</t>
  </si>
  <si>
    <t>Point(-84.208109 31.585605)</t>
  </si>
  <si>
    <t>Alexander Campbell King Law Library</t>
  </si>
  <si>
    <t>225 Herty Drive, Athens, GA 30602</t>
  </si>
  <si>
    <t>Point(-83.374686 33.954957)</t>
  </si>
  <si>
    <t>American Baptist Historical Society</t>
  </si>
  <si>
    <t>2930 Flowers Road South, Suite 150, Atlanta, GA 30341</t>
  </si>
  <si>
    <t>Point(-84.265613 33.87338)</t>
  </si>
  <si>
    <t>Andalusia</t>
  </si>
  <si>
    <t>2628 North Columbia Street, Milledgeville, GA 31061</t>
  </si>
  <si>
    <t>Point(-83.267777777 33.125166666)</t>
  </si>
  <si>
    <t>Archibald Smith Plantation Home</t>
  </si>
  <si>
    <t>935 Alpharetta Street, Roswell, GA 30075</t>
  </si>
  <si>
    <t>Point(-84.3598 34.024033)</t>
  </si>
  <si>
    <t>Art Papers</t>
  </si>
  <si>
    <t>1083 Austin Avenue NE, Suite 206, Atlanta, GA 30307</t>
  </si>
  <si>
    <t>Point(-84.352603 33.762046)</t>
  </si>
  <si>
    <t>Atlanta Contemporary Art Center</t>
  </si>
  <si>
    <t>Point(-84.3915 33.7621)</t>
  </si>
  <si>
    <t>Augusta Museum of History</t>
  </si>
  <si>
    <t>560 Reynolds Street, Augusta, GA 30901</t>
  </si>
  <si>
    <t>Point(-81.960727 33.474872)</t>
  </si>
  <si>
    <t>Autrey Mill Nature Preserve &amp; Heritage Center</t>
  </si>
  <si>
    <t>9770 Autrey Mill Road, Johns Creek, GA 30022</t>
  </si>
  <si>
    <t>Point(-84.23192 34.020438)</t>
  </si>
  <si>
    <t>Barrington Hall</t>
  </si>
  <si>
    <t>535 Barringron Drive, Roswell, GA 30075</t>
  </si>
  <si>
    <t>Point(-84.363611111 34.013361111)</t>
  </si>
  <si>
    <t>Hurricane Shoals Park</t>
  </si>
  <si>
    <t>416 Hurricane Shoals Road, Maysville, GA 30558</t>
  </si>
  <si>
    <t>Point(-83.541441 34.213438)</t>
  </si>
  <si>
    <t>Bellevue</t>
  </si>
  <si>
    <t>204 Ben Hill Street, Lagrange, GA 30240</t>
  </si>
  <si>
    <t>Point(-85.03954 33.041779)</t>
  </si>
  <si>
    <t>Washington County Historical Society</t>
  </si>
  <si>
    <t>268 North Harris Street, Sandersville, Georgia 31082</t>
  </si>
  <si>
    <t>Point(-82.809704 32.98834)</t>
  </si>
  <si>
    <t>Andersonville National Historic Site</t>
  </si>
  <si>
    <t>496 Cemetery Road, Andersonville, GA 31711</t>
  </si>
  <si>
    <t>Point(-84.127365 32.197605)</t>
  </si>
  <si>
    <t>Augusta Canal Authority</t>
  </si>
  <si>
    <t>1450 Greene Street, Suite 400, Augusta, GA 30901</t>
  </si>
  <si>
    <t>Point(-81.981902 33.477618)</t>
  </si>
  <si>
    <t>Booth Western Art Museum</t>
  </si>
  <si>
    <t>501 Museum Drive, Cartersville, GA 30120</t>
  </si>
  <si>
    <t>Point(-84.796194444 34.168527777)</t>
  </si>
  <si>
    <t>Stone Mountain State Memorial Park</t>
  </si>
  <si>
    <t>1000 Robert E. Lee Boulevard, Stone Mountain, GA 30083</t>
  </si>
  <si>
    <t>Point(-84.144444444 33.806944444)</t>
  </si>
  <si>
    <t>Bulloch Hall</t>
  </si>
  <si>
    <t>180 Bulloch Avenue, Roswell, GA 30075</t>
  </si>
  <si>
    <t>Point(-84.367825 34.015142)</t>
  </si>
  <si>
    <t>Martin Luther King Jr. National Historical Park</t>
  </si>
  <si>
    <t>450 Auburn Avenue NE, Atlanta, GA 30312</t>
  </si>
  <si>
    <t>Point(-84.373537 33.755799)</t>
  </si>
  <si>
    <t>Callaway Gardens</t>
  </si>
  <si>
    <t>Point(-84.8515 32.8448)</t>
  </si>
  <si>
    <t>Callaway Plantation</t>
  </si>
  <si>
    <t>2160 Lexington Road, Washington, GA 30673</t>
  </si>
  <si>
    <t>Point(-82.812015 33.775596)</t>
  </si>
  <si>
    <t>Carnegie Library</t>
  </si>
  <si>
    <t>Point(-82.907778 32.522222)</t>
  </si>
  <si>
    <t>UGA Carnegie Library</t>
  </si>
  <si>
    <t>101 Fox Road, Athens, GA 30602</t>
  </si>
  <si>
    <t>Point(-83.404559 33.964054)</t>
  </si>
  <si>
    <t>Carnegie Library of Barnesville</t>
  </si>
  <si>
    <t>Point(-84.158333 33.052778)</t>
  </si>
  <si>
    <t>East Henry Street Carnegie Library</t>
  </si>
  <si>
    <t>537 East Henry Street, Savannah, GA 31401</t>
  </si>
  <si>
    <t>Point(-81.091284 32.061288)</t>
  </si>
  <si>
    <t>Center for Puppetry Arts</t>
  </si>
  <si>
    <t>1404 Spring Street, Atlanta, GA 30309</t>
  </si>
  <si>
    <t>Point(-84.3896 33.7929)</t>
  </si>
  <si>
    <t>Charlie Elliott Wildlife Center</t>
  </si>
  <si>
    <t>Point(-83.7353 33.5186)</t>
  </si>
  <si>
    <t>Chattahoochee Nature Center</t>
  </si>
  <si>
    <t>Point(-84.3828 34.0044)</t>
  </si>
  <si>
    <t>Chieftains Museum</t>
  </si>
  <si>
    <t>501 Riverside Parkway NE, Rome, GA 30162</t>
  </si>
  <si>
    <t>Point(-85.1701995 34.2771289)</t>
  </si>
  <si>
    <t>City Cemetery</t>
  </si>
  <si>
    <t>100 Virginia Avenue, Sandersville, GA 31082</t>
  </si>
  <si>
    <t>Point(-82.814191 32.982342)</t>
  </si>
  <si>
    <t>Clock Tower</t>
  </si>
  <si>
    <t>Point(-85.169167 34.253611)</t>
  </si>
  <si>
    <t>Columbus Museum</t>
  </si>
  <si>
    <t>1251 Wynnton Road, Columbus, GA 31906</t>
  </si>
  <si>
    <t>Point(-84.974276 32.46713)</t>
  </si>
  <si>
    <t>Cumberland Island National Seashore</t>
  </si>
  <si>
    <t>101 Wheeler Street, St. Marys, GA 31588</t>
  </si>
  <si>
    <t>Point(-81.45 30.8333)</t>
  </si>
  <si>
    <t>Dahlonega Gold Museum Historic Site</t>
  </si>
  <si>
    <t>1 Public Square, Dahlonega, GA 30533</t>
  </si>
  <si>
    <t>Point(-83.984869 34.532632)</t>
  </si>
  <si>
    <t>DeKalb County Public Library System</t>
  </si>
  <si>
    <t>3560 Kensington Rd., Decatur, GA 30032</t>
  </si>
  <si>
    <t>Point(-84.2939 33.7741)</t>
  </si>
  <si>
    <t>Delta Flight Museum</t>
  </si>
  <si>
    <t>1060 Delta Boulevard, Building B, Department 914, Atlanta, GA 30354</t>
  </si>
  <si>
    <t>Point(-84.422282 33.656149)</t>
  </si>
  <si>
    <t>Digital Library of Georgia</t>
  </si>
  <si>
    <t>Point(-83.379481963 34.044502672)</t>
  </si>
  <si>
    <t>Dixie Coca-Cola Bottling Company Plant</t>
  </si>
  <si>
    <t>Point(-84.384183 33.754353)</t>
  </si>
  <si>
    <t>Dorchester Academy</t>
  </si>
  <si>
    <t>8787 East Oglethorpe Highway, Midway, GA 31320</t>
  </si>
  <si>
    <t>Point(-81.465194444 31.8015)</t>
  </si>
  <si>
    <t>Fernbank Museum of Natural History</t>
  </si>
  <si>
    <t>767 Clifton Road NE, Atlanta, GA 30307</t>
  </si>
  <si>
    <t>Point(-84.327984 33.773938)</t>
  </si>
  <si>
    <t>Fernbank Science Center</t>
  </si>
  <si>
    <t>Point(-84.3181 33.7785)</t>
  </si>
  <si>
    <t>First African Baptist Church</t>
  </si>
  <si>
    <t>23 Montgomery Street, Savannah, GA 31401</t>
  </si>
  <si>
    <t>Point(-81.09626 32.081355)</t>
  </si>
  <si>
    <t>Flint RiverQuarium</t>
  </si>
  <si>
    <t>117 Pine Avenue, Albany, GA 31701</t>
  </si>
  <si>
    <t>Point(-84.149055555 31.579083333)</t>
  </si>
  <si>
    <t>Fort King George</t>
  </si>
  <si>
    <t>302 McIntosh Road SE, Darien, GA 31305</t>
  </si>
  <si>
    <t>Point(-81.416444 31.364638)</t>
  </si>
  <si>
    <t>Fort Morris Historic Site</t>
  </si>
  <si>
    <t>2559 Fort Morris Road, Midway, GA 31320</t>
  </si>
  <si>
    <t>Point(-81.289505 31.760137)</t>
  </si>
  <si>
    <t>Fort Mountain State Park</t>
  </si>
  <si>
    <t>181 Fort Mountain Park Road, Chatsworth, GA 30705</t>
  </si>
  <si>
    <t>Point(-84.703167 34.762702)</t>
  </si>
  <si>
    <t>Fort Oglethorpe</t>
  </si>
  <si>
    <t>6 Barnhardt Circle, Fort Oglethorpe, GA 30742</t>
  </si>
  <si>
    <t>Point(-85.260566 34.942973)</t>
  </si>
  <si>
    <t>Fort Yargo State Park</t>
  </si>
  <si>
    <t>210 South Broad Street, Winder, GA 30680</t>
  </si>
  <si>
    <t>Point(-83.730247 33.968355)</t>
  </si>
  <si>
    <t>Fountain Hall</t>
  </si>
  <si>
    <t>Point(-84.408772 33.754418)</t>
  </si>
  <si>
    <t>Savannah Jewish Federation</t>
  </si>
  <si>
    <t>5111 Abercorn Street, Savannah, GA 31405</t>
  </si>
  <si>
    <t>Point(-81.108256 32.03023)</t>
  </si>
  <si>
    <t>Hargrett Rare Book and Manuscript Library</t>
  </si>
  <si>
    <t>Richard B. Russell Building, 300 South Hull Street, Athens, GA 30602</t>
  </si>
  <si>
    <t>Point(-83.378209 33.954057)</t>
  </si>
  <si>
    <t>Bailey-Tebault House</t>
  </si>
  <si>
    <t>Point(-84.27361111 33.24416667)</t>
  </si>
  <si>
    <t>Cuba Family Archives for Southern Jewish History</t>
  </si>
  <si>
    <t>1440 Spring Street Northwest, Atlanta, GA 30309</t>
  </si>
  <si>
    <t>Point(-84.389532 33.793689)</t>
  </si>
  <si>
    <t>Valdosta State University Archives and Special Collections</t>
  </si>
  <si>
    <t>1500 North Patterson Street, Valdosta, GA 31698</t>
  </si>
  <si>
    <t>Point(-83.289738 30.848005)</t>
  </si>
  <si>
    <t>Zach S. Henderson Library</t>
  </si>
  <si>
    <t>1400 Southern Drive, Building 208, Statesboro, GA 30458</t>
  </si>
  <si>
    <t>Point(-81.783239 32.424834)</t>
  </si>
  <si>
    <t>Lane Library</t>
  </si>
  <si>
    <t>11935 Abercorn Street, Savannah, GA 31419</t>
  </si>
  <si>
    <t>Point(-81.161712 31.979076)</t>
  </si>
  <si>
    <t>Baldwin Library</t>
  </si>
  <si>
    <t>2802 Moore Highway, Tifton, GA 31793</t>
  </si>
  <si>
    <t>Point(-83.528404 31.483109)</t>
  </si>
  <si>
    <t>College of Coastal Georgia Gould Memorial Library</t>
  </si>
  <si>
    <t>1 College Drive, Brunswick, GA 31520</t>
  </si>
  <si>
    <t>Point(-81.486166 31.181984)</t>
  </si>
  <si>
    <t>Camden Center Library</t>
  </si>
  <si>
    <t>8001 Lakes Boulevard, Kingsland, GA 31548</t>
  </si>
  <si>
    <t>Point(-81.653818 30.806114)</t>
  </si>
  <si>
    <t>Reese Library</t>
  </si>
  <si>
    <t>2500 Walton Way, Augusta, GA 30904</t>
  </si>
  <si>
    <t>Point(-82.022061 33.476434)</t>
  </si>
  <si>
    <t>Augusta University Robert B. Greenblatt M.D. Library</t>
  </si>
  <si>
    <t>1439 Laney-Walker Boulevard, Augusta, GA 30912</t>
  </si>
  <si>
    <t>Point(-81.98751 33.469212)</t>
  </si>
  <si>
    <t>James Pendergrast Memorial Library</t>
  </si>
  <si>
    <t>504 College Drive, Albany, GA 31705</t>
  </si>
  <si>
    <t>Point(-84.141929 31.569286)</t>
  </si>
  <si>
    <t>Harold B. Wetherbee Library</t>
  </si>
  <si>
    <t>2400 Gillionville Road, Albany, GA 31707</t>
  </si>
  <si>
    <t>Point(-84.212827 31.584076)</t>
  </si>
  <si>
    <t>Atlanta Metropolitan State College Library</t>
  </si>
  <si>
    <t>1630 Metropolitan Parkway SW, Atlanta, GA 30310</t>
  </si>
  <si>
    <t>Point(-84.404023 33.709598)</t>
  </si>
  <si>
    <t>Georgia Governor's Mansion</t>
  </si>
  <si>
    <t>391 West Paces Ferry Road NW</t>
  </si>
  <si>
    <t>Point(-84.399217 33.846176)</t>
  </si>
  <si>
    <t>Georgia Historical Society</t>
  </si>
  <si>
    <t>501 Whitaker Street, Savannah, GA 31401</t>
  </si>
  <si>
    <t>Point(-81.096628 32.070396)</t>
  </si>
  <si>
    <t>Georgia Museum of Art</t>
  </si>
  <si>
    <t>90 Carlton Street, Athens, GA 30602</t>
  </si>
  <si>
    <t>Point(-83.369965 33.941272)</t>
  </si>
  <si>
    <t>Georgia Museum of Natural History</t>
  </si>
  <si>
    <t>Natural History Bldg, 101 Cedar Street, Athens, GA 30602</t>
  </si>
  <si>
    <t>Point(-83.371745706 33.944937649)</t>
  </si>
  <si>
    <t>Georgia Radio Hall of Fame</t>
  </si>
  <si>
    <t>3218 Hamilton Rd, Columbus, GA 31904</t>
  </si>
  <si>
    <t>Point(-84.9795322 32.4943242)</t>
  </si>
  <si>
    <t>Georgia Rural Telephone Museum</t>
  </si>
  <si>
    <t>135 N Bailey Ave, Leslie, GA 31764</t>
  </si>
  <si>
    <t>Point(-84.086749 31.955997)</t>
  </si>
  <si>
    <t>Georgia Southern Botanical Garden</t>
  </si>
  <si>
    <t>Point(-81.7741 32.4209)</t>
  </si>
  <si>
    <t>Georgia Sports Hall of Fame</t>
  </si>
  <si>
    <t>301 Cherry Street, Macon, GA 31201</t>
  </si>
  <si>
    <t>Point(-83.624685 32.834539)</t>
  </si>
  <si>
    <t>Georgia State University Atlanta Campus Library</t>
  </si>
  <si>
    <t>100 Decatur Street SE, Atlanta, GA 30303</t>
  </si>
  <si>
    <t>Point(-84.386562 33.752793)</t>
  </si>
  <si>
    <t>Georgia Tech Library</t>
  </si>
  <si>
    <t>266 4th Street NW, Atlanta, GA 30332</t>
  </si>
  <si>
    <t>Point(-84.395203 33.774151)</t>
  </si>
  <si>
    <t>Georgia Trust for Historic Preservation</t>
  </si>
  <si>
    <t>1516 Peachtree Street NW, Atlanta, GA 30309</t>
  </si>
  <si>
    <t>Georgia Veterans State Park</t>
  </si>
  <si>
    <t>2459-H US Highway 280 West, Cordele, GA 31015</t>
  </si>
  <si>
    <t>Point(-83.89821 31.958411)</t>
  </si>
  <si>
    <t>Georgia Writers Association</t>
  </si>
  <si>
    <t>440 Bartow Ave, #2701, Kennesaw, GA 30144</t>
  </si>
  <si>
    <t>Point(-84.584217 34.039258)</t>
  </si>
  <si>
    <t>Almand-O'Kelley-Walker House</t>
  </si>
  <si>
    <t>981 Green Street</t>
  </si>
  <si>
    <t>Point(-84.01555556 33.66388889)</t>
  </si>
  <si>
    <t>Brown House</t>
  </si>
  <si>
    <t>Point(-84.146667 33.445646)</t>
  </si>
  <si>
    <t>University of Georgia Herbarium</t>
  </si>
  <si>
    <t>2501 Miller Plant Sciences, University of Georgia, Athens, GA 30602</t>
  </si>
  <si>
    <t>Point(-83.375108617 33.942335023)</t>
  </si>
  <si>
    <t>Ellamae Ellis League House</t>
  </si>
  <si>
    <t>Point(-83.631979 32.87128)</t>
  </si>
  <si>
    <t>Gordon-Lee Mansion</t>
  </si>
  <si>
    <t>217 Cove Road, Chickamauga, GA 30707</t>
  </si>
  <si>
    <t>Point(-85.29464 34.871088)</t>
  </si>
  <si>
    <t>Green-Meldrim House</t>
  </si>
  <si>
    <t>14 West Macon Street, Savannah, GA 31401</t>
  </si>
  <si>
    <t>Point(-81.09483 32.073759)</t>
  </si>
  <si>
    <t>6th Cavalry Museum</t>
  </si>
  <si>
    <t>Point(-85.259852 34.943799)</t>
  </si>
  <si>
    <t>McCain Library Special Collections</t>
  </si>
  <si>
    <t>141 East College Avenue, Decatur, GA 30030</t>
  </si>
  <si>
    <t>Point(-84.294419 33.768262)</t>
  </si>
  <si>
    <t>Albany Civil Rights Institute</t>
  </si>
  <si>
    <t>326 Whitney Avenue, Albany, GA 31706</t>
  </si>
  <si>
    <t>Point(-84.155507 31.571826)</t>
  </si>
  <si>
    <t>All Saints' Episcopal Church Archives and Library</t>
  </si>
  <si>
    <t>634 West Peachtree SW, Atlanta, GA 30308</t>
  </si>
  <si>
    <t>Point(-84.385077 33.772057)</t>
  </si>
  <si>
    <t>Alma-Bacon County Historical Society</t>
  </si>
  <si>
    <t>406 Mercer, 201 N. Pierce Street Alma, GA 31510</t>
  </si>
  <si>
    <t>Point(-82.4673806 31.5453876)</t>
  </si>
  <si>
    <t>Alpha Delta Pi Sorority Memorial Headquarters</t>
  </si>
  <si>
    <t>1386 Ponce De Leon Avenue NE, Atlanta, GA 30306</t>
  </si>
  <si>
    <t>Point(-84.342008 33.775631)</t>
  </si>
  <si>
    <t>McCain Library, Agnes Scott College</t>
  </si>
  <si>
    <t>Point(-84.294488888 33.76825)</t>
  </si>
  <si>
    <t>Rockdale County Jail</t>
  </si>
  <si>
    <t>Point(-84.01677 33.66861)</t>
  </si>
  <si>
    <t>Hamburg State Park</t>
  </si>
  <si>
    <t>6071 Hamburg State Park Road, Mitchell, GA 30820</t>
  </si>
  <si>
    <t>Point(-82.77708 33.20515)</t>
  </si>
  <si>
    <t>Hammonds House Museum</t>
  </si>
  <si>
    <t>503 Peeples Street, Atlanta, GA 30310</t>
  </si>
  <si>
    <t>Point(-84.420881 33.741248)</t>
  </si>
  <si>
    <t>Hawkes Children's Library of West Point</t>
  </si>
  <si>
    <t>100 W 8th Street, West Point, GA, GA 31833</t>
  </si>
  <si>
    <t>Point(-85.181732459 32.876916656)</t>
  </si>
  <si>
    <t>Herndon Home</t>
  </si>
  <si>
    <t>587 University Place NW, Atlanta, GA 30314</t>
  </si>
  <si>
    <t>Point(-84.406809 33.755808)</t>
  </si>
  <si>
    <t>Athens-Clarke County Library</t>
  </si>
  <si>
    <t>2025 Baxter Street, Athens, GA 30606</t>
  </si>
  <si>
    <t>Point(-83.403548 33.945191)</t>
  </si>
  <si>
    <t>Hills and Dales Estate</t>
  </si>
  <si>
    <t>1916 Hills and Dales Drive, LaGrange, GA 30240</t>
  </si>
  <si>
    <t>Point(-85.048827 33.039257)</t>
  </si>
  <si>
    <t>University of Georgia Libraries</t>
  </si>
  <si>
    <t>Emory University Libraries</t>
  </si>
  <si>
    <t>Hurn Museum</t>
  </si>
  <si>
    <t>Imagine It! The Children's Museum of Atlanta</t>
  </si>
  <si>
    <t>Isaiah Davenport House</t>
  </si>
  <si>
    <t>324 East State Street, Savannah, GA 31401</t>
  </si>
  <si>
    <t>Point(-81.08801 32.077298)</t>
  </si>
  <si>
    <t>Jackson Street Cemetery</t>
  </si>
  <si>
    <t>350 South Jackson Street, Athens, GA 30602</t>
  </si>
  <si>
    <t>Point(-83.372106 33.954479)</t>
  </si>
  <si>
    <t>Jefferson Davis Memorial Historic Site</t>
  </si>
  <si>
    <t>338 Jeff Davis Park Road, Fitzgerald, Georgia 31750-6343</t>
  </si>
  <si>
    <t>Point(-83.38671 31.66457)</t>
  </si>
  <si>
    <t>Jekyll Island Museum</t>
  </si>
  <si>
    <t>100 Stable Road, Jekyll Island, GA 31527</t>
  </si>
  <si>
    <t>Point(-81.417938 31.058345)</t>
  </si>
  <si>
    <t>Jessye Norman School of the Arts</t>
  </si>
  <si>
    <t>Point(-81.965918 33.473486)</t>
  </si>
  <si>
    <t>St. Simons Island Lighthouse Museum</t>
  </si>
  <si>
    <t>101 12th Street, St. Simons Island, GA 31522</t>
  </si>
  <si>
    <t>Point(-81.393448 31.134069)</t>
  </si>
  <si>
    <t>Jimmy Carter National Historical Park</t>
  </si>
  <si>
    <t>300 North Bond Street, Plains, GA 31780</t>
  </si>
  <si>
    <t>Point(-84.392549 32.036505)</t>
  </si>
  <si>
    <t>Joel Chandler Harris House</t>
  </si>
  <si>
    <t>1050 Ralph D. Abernathy Boulevard SW, Atlanta, GA 30310</t>
  </si>
  <si>
    <t>Point(-84.422181 33.7377)</t>
  </si>
  <si>
    <t>Juliette Gordon Low Birthplace</t>
  </si>
  <si>
    <t>10 East Oglethorpe Avenue, Savannah, GA 31401</t>
  </si>
  <si>
    <t>Point(-81.0924 32.077088)</t>
  </si>
  <si>
    <t>Goizueta Business Library</t>
  </si>
  <si>
    <t>Point(-84.32302 33.79042)</t>
  </si>
  <si>
    <t>626 North Dawson Street, Thomasville, GA 31792</t>
  </si>
  <si>
    <t>Point(-83.982907 30.845613)</t>
  </si>
  <si>
    <t>Beulah Rucker House-School</t>
  </si>
  <si>
    <t>2101 Athens Highway, Gainesville, GA 30507</t>
  </si>
  <si>
    <t>Point(-83.788542 34.282134)</t>
  </si>
  <si>
    <t>Marietta/Cobb Museum of Art</t>
  </si>
  <si>
    <t>30 Atlanta Street, Marietta, GA 30060</t>
  </si>
  <si>
    <t>Point(-84.549353 33.951313)</t>
  </si>
  <si>
    <t>Aragon Historical Society</t>
  </si>
  <si>
    <t>105 New Prospect Road, Aragon, GA 30104</t>
  </si>
  <si>
    <t>Point(-85.06229 34.04235)</t>
  </si>
  <si>
    <t>Madison Museum of Fine Art</t>
  </si>
  <si>
    <t>300 Hancock Street, Madison, GA 30650</t>
  </si>
  <si>
    <t>Point(-83.466633 33.595242)</t>
  </si>
  <si>
    <t>Mary Willis Library</t>
  </si>
  <si>
    <t>204 E. Liberty Street, Washington, GA 30673</t>
  </si>
  <si>
    <t>Point(-82.737995 33.735544)</t>
  </si>
  <si>
    <t>Massee Lane Gardens</t>
  </si>
  <si>
    <t>100 Massee Ln, Fort Valley, GA 31030-6974</t>
  </si>
  <si>
    <t>Point(-83.9100436 32.4889784)</t>
  </si>
  <si>
    <t>McDaniel-Tichenor House</t>
  </si>
  <si>
    <t>319 McDaniel Street, Monroe, GA 30655</t>
  </si>
  <si>
    <t>Point(-83.714411 33.791328)</t>
  </si>
  <si>
    <t>Meadow Garden</t>
  </si>
  <si>
    <t>1320 Independence Drive, Augusta, GA 30901</t>
  </si>
  <si>
    <t>Point(-81.979595 33.473805)</t>
  </si>
  <si>
    <t>Michael C. Carlos Museum</t>
  </si>
  <si>
    <t>571 South Kilgo Circle, Atlanta, GA 30322</t>
  </si>
  <si>
    <t>Point(-84.324235 33.790418)</t>
  </si>
  <si>
    <t>Mighty Eighth Air Force Museum</t>
  </si>
  <si>
    <t>175 Bourne Avenue, Pooler, GA 31322</t>
  </si>
  <si>
    <t>Point(-81.236456 32.115507)</t>
  </si>
  <si>
    <t>Morris Museum of Art</t>
  </si>
  <si>
    <t>1 Tenth Street, Augusta, GA 30901</t>
  </si>
  <si>
    <t>Point(-81.968571 33.479315)</t>
  </si>
  <si>
    <t>The Laurel and Hardy Museum of Harlem, Georgia</t>
  </si>
  <si>
    <t>250 North Louisville Street Harlem, Georgia 30814</t>
  </si>
  <si>
    <t>Point(-82.31204 33.417251)</t>
  </si>
  <si>
    <t>Museum of Arts and Sciences</t>
  </si>
  <si>
    <t>4182 Forsyth Road, Macon, GA 31210</t>
  </si>
  <si>
    <t>Point(-83.694792 32.864729)</t>
  </si>
  <si>
    <t>Museum of Aviation</t>
  </si>
  <si>
    <t>1942 Heritage Boulevard, Robins AFB, GA 31098</t>
  </si>
  <si>
    <t>Point(-83.587808 32.592167)</t>
  </si>
  <si>
    <t>Museum of Contemporary Art of Georgia</t>
  </si>
  <si>
    <t>75 Bennett Street, Atlanta, GA 30309</t>
  </si>
  <si>
    <t>Point(-84.395189 33.812181)</t>
  </si>
  <si>
    <t>Museum of Design Atlanta</t>
  </si>
  <si>
    <t>Point(-84.3847 33.7903)</t>
  </si>
  <si>
    <t>Cumming Library</t>
  </si>
  <si>
    <t>Point(-84.131734 34.220688)</t>
  </si>
  <si>
    <t>National Black Arts Festival</t>
  </si>
  <si>
    <t>1429 Fairmont Avenue NW, Suite J, Atlanta, GA 30318</t>
  </si>
  <si>
    <t>Point(-84.42137 33.793575)</t>
  </si>
  <si>
    <t>National Center for Civil and Human Rights</t>
  </si>
  <si>
    <t>Point(-84.39306 33.76403)</t>
  </si>
  <si>
    <t>National Civil War Naval Museum at Port Columbus</t>
  </si>
  <si>
    <t>1002 Victory Drive, Columbus, GA 31901</t>
  </si>
  <si>
    <t>Point(-84.979531 32.446857)</t>
  </si>
  <si>
    <t>National Infantry Museum</t>
  </si>
  <si>
    <t>1775 Legacy Way, Columbus, Georgia 31903</t>
  </si>
  <si>
    <t>Point(-84.95534 32.389216)</t>
  </si>
  <si>
    <t>Winder Public Library</t>
  </si>
  <si>
    <t>189 Bellview Street, Winder, GA 30680</t>
  </si>
  <si>
    <t>Point(-83.723153 33.998182)</t>
  </si>
  <si>
    <t>Nicholson Public Library</t>
  </si>
  <si>
    <t>5466 U.S. Highway 441 South, Nicholson, GA 30565</t>
  </si>
  <si>
    <t>Point(-83.434823 34.109015)</t>
  </si>
  <si>
    <t>Banks County Public Library</t>
  </si>
  <si>
    <t>226 Highway 51 South, Homer, GA 30547</t>
  </si>
  <si>
    <t>Point(-83.509214 34.329726)</t>
  </si>
  <si>
    <t>Maysville Public Library</t>
  </si>
  <si>
    <t>9247 Gillsville Road, Maysville, GA 30558</t>
  </si>
  <si>
    <t>Point(-83.563045 34.254112)</t>
  </si>
  <si>
    <t>Statham Public Library</t>
  </si>
  <si>
    <t>1928 Railroad Street, Statham, GA 30666</t>
  </si>
  <si>
    <t>Point(-83.59621 33.964807)</t>
  </si>
  <si>
    <t>Braselton Library</t>
  </si>
  <si>
    <t>15 Brassie Lane, Braselton, GA 30517</t>
  </si>
  <si>
    <t>Point(-83.765059 34.108714)</t>
  </si>
  <si>
    <t>Talmo Public Library</t>
  </si>
  <si>
    <t>45 A. J. Irvin Road, Talmo, GA 30575</t>
  </si>
  <si>
    <t>Point(-83.721713 34.184267)</t>
  </si>
  <si>
    <t>Regional Office/Outreach Services</t>
  </si>
  <si>
    <t>990 Washington St, Jefferson, GA 30549</t>
  </si>
  <si>
    <t>Point(-83.584464 34.127522)</t>
  </si>
  <si>
    <t>Cartersville Public Library</t>
  </si>
  <si>
    <t>429 West Main Street, Cartersville, GA 30120</t>
  </si>
  <si>
    <t>Point(-84.805787 34.163171)</t>
  </si>
  <si>
    <t>Adairsville Public Library</t>
  </si>
  <si>
    <t>202 North Main Street, Adairsville, GA 30103</t>
  </si>
  <si>
    <t>Point(-84.934264 34.371008)</t>
  </si>
  <si>
    <t>Emmie Nelson Public Library</t>
  </si>
  <si>
    <t>116 Covered Bridge Road, Euharlee, GA 30120</t>
  </si>
  <si>
    <t>Point(-84.932556 34.143214)</t>
  </si>
  <si>
    <t>Charles A. Lanford Branch Library</t>
  </si>
  <si>
    <t>6504 Houston Road, Macon, GA 31216</t>
  </si>
  <si>
    <t>Point(-83.684743 32.723318)</t>
  </si>
  <si>
    <t>Shurling Branch Library</t>
  </si>
  <si>
    <t>1769 Shurling Drive, Macon, GA 31211</t>
  </si>
  <si>
    <t>Point(-83.593336 32.861362)</t>
  </si>
  <si>
    <t>Crawford County Public Library</t>
  </si>
  <si>
    <t>340 Mccrary Street, Roberta, GA 31078</t>
  </si>
  <si>
    <t>Point(-84.010503 32.722567)</t>
  </si>
  <si>
    <t>Ideal Public Library</t>
  </si>
  <si>
    <t>605 Tom Watson Avenue, Ideal, GA 31041</t>
  </si>
  <si>
    <t>Point(-84.188566 32.376651)</t>
  </si>
  <si>
    <t>Marshallville Public Library</t>
  </si>
  <si>
    <t>106 Camellia Boulevard, Marshallville, GA 31057</t>
  </si>
  <si>
    <t>Point(-83.941647 32.457023)</t>
  </si>
  <si>
    <t>Twiggs County Public Library</t>
  </si>
  <si>
    <t>109 Main Street, Jeffersonville, GA 31044</t>
  </si>
  <si>
    <t>Point(-83.342782 32.688047)</t>
  </si>
  <si>
    <t>East Wilkinson County Public Library</t>
  </si>
  <si>
    <t>154 East Main Street, Irwinton, GA 31042</t>
  </si>
  <si>
    <t>Point(-83.169073 32.815835)</t>
  </si>
  <si>
    <t>L.C. Anderson Memorial Library</t>
  </si>
  <si>
    <t>50 South Kennedy Street, Metter, GA 30439</t>
  </si>
  <si>
    <t>Point(-82.063163 32.396116)</t>
  </si>
  <si>
    <t>Franklin Memorial Library</t>
  </si>
  <si>
    <t>331 West Main Street, Swainsboro, GA 30401</t>
  </si>
  <si>
    <t>Point(-82.341041 32.59313)</t>
  </si>
  <si>
    <t>Douglas County Public Library</t>
  </si>
  <si>
    <t>6810 Selman Drive, Douglasville, GA 30134</t>
  </si>
  <si>
    <t>Point(-84.752367 33.743204)</t>
  </si>
  <si>
    <t>Warren P. Sewell Memorial Library-Bowdon</t>
  </si>
  <si>
    <t>450 West Avenue, Bowdon, GA 30108</t>
  </si>
  <si>
    <t>Point(-85.257069 33.544085)</t>
  </si>
  <si>
    <t>Villa Rica Public Library</t>
  </si>
  <si>
    <t>869 Dallas Highway, Villa Rica, GA 30180</t>
  </si>
  <si>
    <t>Point(-84.913926 33.746474)</t>
  </si>
  <si>
    <t>Betty C. Hagler/Lithia Springs Public Library</t>
  </si>
  <si>
    <t>7100 Turner Drive, Lithia Springs, GA 30122</t>
  </si>
  <si>
    <t>Point(-84.658871 33.781876)</t>
  </si>
  <si>
    <t>Warren P. Sewell Memorial Library-Bremen</t>
  </si>
  <si>
    <t>315 Hamilton Avenue, Bremen, GA 30110</t>
  </si>
  <si>
    <t>Point(-85.147827 33.724599)</t>
  </si>
  <si>
    <t>Tallapoosa Public Library</t>
  </si>
  <si>
    <t>388 Bowdon Street, Tallapoosa, GA 30176</t>
  </si>
  <si>
    <t>Point(-85.292588 33.752152)</t>
  </si>
  <si>
    <t>Heard County Public Library</t>
  </si>
  <si>
    <t>564 Main Street, Franklin, GA 30217</t>
  </si>
  <si>
    <t>Point(-85.09505 33.277663)</t>
  </si>
  <si>
    <t>Paulding County Public Library</t>
  </si>
  <si>
    <t>1010 E. Memorial Drive, Dallas, GA 30132</t>
  </si>
  <si>
    <t>Point(-84.826819 33.932633)</t>
  </si>
  <si>
    <t>Neva Lomason Memorial Library</t>
  </si>
  <si>
    <t>710 Rome Street, Carrollton, GA 30117</t>
  </si>
  <si>
    <t>Point(-85.074653 33.585211)</t>
  </si>
  <si>
    <t>Maude P. Ragsdale Public Library</t>
  </si>
  <si>
    <t>1815 Hiram-Douglasville Highway, Hiram, GA 30141</t>
  </si>
  <si>
    <t>Point(-84.76297 33.866995)</t>
  </si>
  <si>
    <t>New Georgia Public Library</t>
  </si>
  <si>
    <t>94 Ridge Road, Dallas, GA 30157</t>
  </si>
  <si>
    <t>Point(-84.887945 33.807971)</t>
  </si>
  <si>
    <t>Mt. Zion Public Library</t>
  </si>
  <si>
    <t>4455 Mt. Zion Road, Carrollton, GA 30117</t>
  </si>
  <si>
    <t>Point(-85.185429 33.634167)</t>
  </si>
  <si>
    <t>Buchanan-Haralson Public Library</t>
  </si>
  <si>
    <t>145 Courthouse Square, Buchanan, GA 30113</t>
  </si>
  <si>
    <t>Point(-85.189295 33.802718)</t>
  </si>
  <si>
    <t>Whitesburg Public Library</t>
  </si>
  <si>
    <t>800 Main Street, Whitesburg, GA 30185</t>
  </si>
  <si>
    <t>Point(-84.916253 33.496398)</t>
  </si>
  <si>
    <t>Ephesus Public Library</t>
  </si>
  <si>
    <t>200 Rogers Street, Roopville, GA 30170</t>
  </si>
  <si>
    <t>Point(-85.251405 33.405624)</t>
  </si>
  <si>
    <t>Crossroads Public Library</t>
  </si>
  <si>
    <t>909 Harmony Grove Church Road, Acworth, GA 30101</t>
  </si>
  <si>
    <t>Point(-84.779004 34.050553)</t>
  </si>
  <si>
    <t>Dog River Public Library</t>
  </si>
  <si>
    <t>6100 Georgia Highway 5, Douglasville, GA 30135</t>
  </si>
  <si>
    <t>Point(-84.827647 33.637776)</t>
  </si>
  <si>
    <t>Ruth Holder Public Library</t>
  </si>
  <si>
    <t>337 Sage Street, Temple, GA 30179</t>
  </si>
  <si>
    <t>Point(-85.030924 33.736193)</t>
  </si>
  <si>
    <t>Springfield Public Library</t>
  </si>
  <si>
    <t>810 Highway 119 South, Springfield, GA 31329</t>
  </si>
  <si>
    <t>Point(-81.331535 32.361124)</t>
  </si>
  <si>
    <t>Oglethorpe Mall Public Library</t>
  </si>
  <si>
    <t>7 Mall Annex, Savannah, GA 31406</t>
  </si>
  <si>
    <t>Point(-81.118521 32.000748)</t>
  </si>
  <si>
    <t>Midway-Riceboro Library</t>
  </si>
  <si>
    <t>9397 East Oglethorpe Highway, Midway, GA 31320</t>
  </si>
  <si>
    <t>Point(-81.454344 31.797701)</t>
  </si>
  <si>
    <t>Southwest Chatham Library</t>
  </si>
  <si>
    <t>14097 Abercorn Street, Savannah, GA 31419</t>
  </si>
  <si>
    <t>Point(-81.175902 31.985671)</t>
  </si>
  <si>
    <t>West Broad Library</t>
  </si>
  <si>
    <t>1110 May Street, Savannah, GA 31515</t>
  </si>
  <si>
    <t>Point(-81.105412 32.066462)</t>
  </si>
  <si>
    <t>Chattooga County Library</t>
  </si>
  <si>
    <t>360 Farrar Drive, Summerville, GA 30747</t>
  </si>
  <si>
    <t>Point(-85.331973 34.490709)</t>
  </si>
  <si>
    <t>Trion Public Library</t>
  </si>
  <si>
    <t>15 Bulldog Boulevard, Trion, GA 30753</t>
  </si>
  <si>
    <t>Point(-85.30833 34.533674)</t>
  </si>
  <si>
    <t>Gilmer County Public Library</t>
  </si>
  <si>
    <t>268 Calvin Jackson Drive, Ellijay, GA 30540</t>
  </si>
  <si>
    <t>Point(-84.505808 34.68532)</t>
  </si>
  <si>
    <t>Pickens County Public Library</t>
  </si>
  <si>
    <t>100 Library Lane, Jasper, GA 30143</t>
  </si>
  <si>
    <t>Point(-84.421424 34.474465)</t>
  </si>
  <si>
    <t>R.T. Jones Memorial Library</t>
  </si>
  <si>
    <t>116 Brown Industrial Parkway, Canton, GA 30114</t>
  </si>
  <si>
    <t>Point(-84.468919 34.238004)</t>
  </si>
  <si>
    <t>Rose Creek Public Library</t>
  </si>
  <si>
    <t>4476 Towne Lake Parkway, Woodstock, GA 30189</t>
  </si>
  <si>
    <t>Point(-84.572571 34.129093)</t>
  </si>
  <si>
    <t>Hickory Flat Public Library</t>
  </si>
  <si>
    <t>2740 East Cherokee Drive, Canton, GA 30115</t>
  </si>
  <si>
    <t>Point(-84.421443 34.170441)</t>
  </si>
  <si>
    <t>Cherokee County Law Library</t>
  </si>
  <si>
    <t>Frank C. Mills III Justice Center, Suite 250, 90 North Street, Canton, GA 30114</t>
  </si>
  <si>
    <t>Point(-84.490005 34.237623)</t>
  </si>
  <si>
    <t>Ball Ground Public Library</t>
  </si>
  <si>
    <t>435 Old Canton Road, Ball Ground, GA 30107</t>
  </si>
  <si>
    <t>Point(-84.378245 34.340498)</t>
  </si>
  <si>
    <t>Winterville Branch Library</t>
  </si>
  <si>
    <t>115 Marigold Lane, Winterville, GA 30683</t>
  </si>
  <si>
    <t>Point(-83.280183 33.9679)</t>
  </si>
  <si>
    <t>Bogart Branch Library</t>
  </si>
  <si>
    <t>200 South Burson Avenue, Bogart, GA 30622</t>
  </si>
  <si>
    <t>Point(-83.532007 33.945378)</t>
  </si>
  <si>
    <t>Royston Branch Library</t>
  </si>
  <si>
    <t>634 Franklin Springs Street, Royston, GA 30662</t>
  </si>
  <si>
    <t>Point(-83.12047 34.285241)</t>
  </si>
  <si>
    <t>Lay Park Resource Center</t>
  </si>
  <si>
    <t>297 Hoyt Street, Athens, GA 30601</t>
  </si>
  <si>
    <t>Point(-83.375727 33.964171)</t>
  </si>
  <si>
    <t>East Athens Resource Center</t>
  </si>
  <si>
    <t>400 McKinley Drive, Athens, GA 30601</t>
  </si>
  <si>
    <t>Point(-83.355121 33.960209)</t>
  </si>
  <si>
    <t>Pinewoods Library And Learning Center</t>
  </si>
  <si>
    <t>1465 US Highway 29, North Lot F-12, Athens, GA 30601</t>
  </si>
  <si>
    <t>Point(-83.326384 34.01367)</t>
  </si>
  <si>
    <t>Forest Park Branch Library</t>
  </si>
  <si>
    <t>4812 West Street, Forest Park, GA 30297</t>
  </si>
  <si>
    <t>Point(-84.367876 33.623047)</t>
  </si>
  <si>
    <t>Jonesboro Branch Library</t>
  </si>
  <si>
    <t>124 Smith Street, Jonesboro, GA 30236</t>
  </si>
  <si>
    <t>Point(-84.356749 33.522827)</t>
  </si>
  <si>
    <t>Morrow Branch Library</t>
  </si>
  <si>
    <t>6225 Maddox Road, Morrow, GA 30260</t>
  </si>
  <si>
    <t>Point(-84.314074 33.584975)</t>
  </si>
  <si>
    <t>Clayton County Headquarters Library</t>
  </si>
  <si>
    <t>865 Battle Creek Road, Jonesboro, GA 30236</t>
  </si>
  <si>
    <t>Point(-84.3634 33.553305)</t>
  </si>
  <si>
    <t>Lovejoy Branch Library</t>
  </si>
  <si>
    <t>1721 McDonough Road, Hampton, GA 30228</t>
  </si>
  <si>
    <t>Point(-84.335652 33.448217)</t>
  </si>
  <si>
    <t>Switzer Library</t>
  </si>
  <si>
    <t>266 Roswell Street, Marietta, GA 30060</t>
  </si>
  <si>
    <t>Point(-84.54398 33.950082)</t>
  </si>
  <si>
    <t>East Marietta Library</t>
  </si>
  <si>
    <t>2051 Lower Roswell Road, Marietta, GA 30068</t>
  </si>
  <si>
    <t>Point(-84.493032 33.949785)</t>
  </si>
  <si>
    <t>Gritters Library</t>
  </si>
  <si>
    <t>880 Shaw Park Road, Marietta, GA 30066</t>
  </si>
  <si>
    <t>Point(-84.525457 34.02495)</t>
  </si>
  <si>
    <t>Kemp Memorial Library</t>
  </si>
  <si>
    <t>4029 Due West Road, Marietta, GA 30064</t>
  </si>
  <si>
    <t>Point(-84.668496 33.966485)</t>
  </si>
  <si>
    <t>Lewis A. Ray Library</t>
  </si>
  <si>
    <t>4500 Oakdale Road, Smyrna, GA 30080</t>
  </si>
  <si>
    <t>Point(-84.494841 33.844432)</t>
  </si>
  <si>
    <t>Mountain View Regional Library</t>
  </si>
  <si>
    <t>3320 Sandy Plains Road, Marietta, GA 30066</t>
  </si>
  <si>
    <t>Point(-84.465705 34.031324)</t>
  </si>
  <si>
    <t>Powder Springs Library</t>
  </si>
  <si>
    <t>4181 Atlanta Street, Powder Springs, GA 30127</t>
  </si>
  <si>
    <t>Point(-84.676167 33.856616)</t>
  </si>
  <si>
    <t>Sibley Library</t>
  </si>
  <si>
    <t>1539 South Cobb Drive, Marietta, GA 30060</t>
  </si>
  <si>
    <t>Point(-84.547227 33.915573)</t>
  </si>
  <si>
    <t>South Cobb Regional Library</t>
  </si>
  <si>
    <t>805 Clay Road, Mableton, GA 30126</t>
  </si>
  <si>
    <t>Point(-84.577582 33.825165)</t>
  </si>
  <si>
    <t>Sweetwater Valley Library</t>
  </si>
  <si>
    <t>5000 Austell-powder Springs Road, Austell, GA 30106</t>
  </si>
  <si>
    <t>Point(-84.656784 33.832004)</t>
  </si>
  <si>
    <t>West Cobb Regional Library</t>
  </si>
  <si>
    <t>1750 Dennis Kemp Lane, Kennesaw, GA 30152</t>
  </si>
  <si>
    <t>Point(-84.70224 33.999014)</t>
  </si>
  <si>
    <t>East Cobb Library</t>
  </si>
  <si>
    <t>4880 Lower Roswell Road, Marietta, GA 30068</t>
  </si>
  <si>
    <t>Point(-84.409345 33.964024)</t>
  </si>
  <si>
    <t>Douglas-Coffee County Public Library</t>
  </si>
  <si>
    <t>200 S. Madison Av Suite D, Douglas, GA 31533</t>
  </si>
  <si>
    <t>Point(-82.848734 31.506908)</t>
  </si>
  <si>
    <t>Broxton Public Library</t>
  </si>
  <si>
    <t>105 Church Street, Broxton, GA 31519</t>
  </si>
  <si>
    <t>Point(-82.886183 31.624124)</t>
  </si>
  <si>
    <t>Nicholls Public Library</t>
  </si>
  <si>
    <t>108 North Liberty Street, Nicholls, GA 31554</t>
  </si>
  <si>
    <t>Point(-82.634775 31.516022)</t>
  </si>
  <si>
    <t>Pearson Public Library</t>
  </si>
  <si>
    <t>56 East Bullard Avenue, Pearson, GA 31642-1240</t>
  </si>
  <si>
    <t>Point(-82.851349 31.298831)</t>
  </si>
  <si>
    <t>Willacoochee Public Library</t>
  </si>
  <si>
    <t>165 East Fleetwood Avenue, Willacoochee, GA 31650</t>
  </si>
  <si>
    <t>Point(-83.043869 31.339619)</t>
  </si>
  <si>
    <t>Ambrose Public Library</t>
  </si>
  <si>
    <t>1070 Cypress Street, Ambrose, GA 31512</t>
  </si>
  <si>
    <t>Point(-83.013217 31.595674)</t>
  </si>
  <si>
    <t>Moultrie-Colquitt County Library</t>
  </si>
  <si>
    <t>204 5th Street Southeast, Moultrie, GA 31768</t>
  </si>
  <si>
    <t>Point(-83.783286 31.177222)</t>
  </si>
  <si>
    <t>Colquitt County Bookmobile</t>
  </si>
  <si>
    <t>204 5th Street Se, Moultrie, GA 31768</t>
  </si>
  <si>
    <t>Point(-83.782965 31.177764)</t>
  </si>
  <si>
    <t>Doerun Municipal Library</t>
  </si>
  <si>
    <t>185 North Freeman Street, Doerun, GA 31744</t>
  </si>
  <si>
    <t>Point(-83.915352 31.320168)</t>
  </si>
  <si>
    <t>Gilbert H. Gragg Library</t>
  </si>
  <si>
    <t>301 South Monroe Street, Bainbridge, GA 39819</t>
  </si>
  <si>
    <t>Point(-84.569735 30.903478)</t>
  </si>
  <si>
    <t>James W. Merritt, Jr. Memorial Library</t>
  </si>
  <si>
    <t>259 East Main Street, Colquitt, GA 39837</t>
  </si>
  <si>
    <t>Point(-84.729906 31.171927)</t>
  </si>
  <si>
    <t>Seminole County Public Library</t>
  </si>
  <si>
    <t>103 West Fourth Street, Donalsonville, GA 39845</t>
  </si>
  <si>
    <t>Point(-84.88336 31.038667)</t>
  </si>
  <si>
    <t>Brookhaven Branch</t>
  </si>
  <si>
    <t>1242 North Druid Hills Road NE, Atlanta, GA 30319</t>
  </si>
  <si>
    <t>Point(-84.339733 33.857147)</t>
  </si>
  <si>
    <t>Covington Branch</t>
  </si>
  <si>
    <t>3500 Covington Highway, Decatur, GA 30032</t>
  </si>
  <si>
    <t>Point(-84.251342 33.767278)</t>
  </si>
  <si>
    <t>Toco Hills-Avis G. Williams Branch</t>
  </si>
  <si>
    <t>1282 McConnell Drive, Decatur, GA 30033</t>
  </si>
  <si>
    <t>Point(-84.306973 33.809282)</t>
  </si>
  <si>
    <t>Dunwoody Branch</t>
  </si>
  <si>
    <t>5339 Chamblee-Dunwoody Road, Dunwoody, GA 30338</t>
  </si>
  <si>
    <t>Point(-84.331681 33.944325)</t>
  </si>
  <si>
    <t>Chamblee Branch</t>
  </si>
  <si>
    <t>4115 Clairmont Road, Chamblee, GA 30341</t>
  </si>
  <si>
    <t>Point(-84.309073 33.882289)</t>
  </si>
  <si>
    <t>Doraville Branch</t>
  </si>
  <si>
    <t>3748 Central Avenue, Doraville, GA 30340</t>
  </si>
  <si>
    <t>Point(-84.278277 33.901546)</t>
  </si>
  <si>
    <t>Embry Hills Branch</t>
  </si>
  <si>
    <t>3733 Chamblee-Tucker Road, Chamblee, GA 30341</t>
  </si>
  <si>
    <t>Point(-84.241578 33.883371)</t>
  </si>
  <si>
    <t>Hairston Crossing Branch</t>
  </si>
  <si>
    <t>4911 Redan Road, Stone Mountain, GA 30088</t>
  </si>
  <si>
    <t>Point(-84.191974 33.758896)</t>
  </si>
  <si>
    <t>Lithonia-Davidson Branch</t>
  </si>
  <si>
    <t>6821 Church Street, Lithonia, GA 30058</t>
  </si>
  <si>
    <t>Point(-84.109097 33.712273)</t>
  </si>
  <si>
    <t>Tucker-Reid H. Cofer Branch</t>
  </si>
  <si>
    <t>5234 LaVista Road, Tucker, GA 30084</t>
  </si>
  <si>
    <t>Point(-84.208774 33.857281)</t>
  </si>
  <si>
    <t>Salem-Panola Branch</t>
  </si>
  <si>
    <t>5137 Salem Road, Lithonia, GA 30038</t>
  </si>
  <si>
    <t>Point(-84.177936 33.677989)</t>
  </si>
  <si>
    <t>Scott Candler Branch</t>
  </si>
  <si>
    <t>1917 Candler Road, Decatur, GA 30032</t>
  </si>
  <si>
    <t>Point(-84.286038 33.734673)</t>
  </si>
  <si>
    <t>Stone Mountain-Sue Kellogg Branch</t>
  </si>
  <si>
    <t>952 Leon Street, Stone Mountain, GA 30083</t>
  </si>
  <si>
    <t>Point(-84.171266 33.8062)</t>
  </si>
  <si>
    <t>Scottdale-Tobie Grant Branch</t>
  </si>
  <si>
    <t>644 Parkdale Drive, Scottdale, GA 30079</t>
  </si>
  <si>
    <t>Point(-84.256454 33.7959)</t>
  </si>
  <si>
    <t>Wesley Chapel-William C. Brown Branch</t>
  </si>
  <si>
    <t>2861 Wesley Chapel Road, Decatur, GA 30034</t>
  </si>
  <si>
    <t>Point(-84.221201 33.704368)</t>
  </si>
  <si>
    <t>Clarkston Branch</t>
  </si>
  <si>
    <t>951 North Indian Creek Drive, Clarkston, GA 30021</t>
  </si>
  <si>
    <t>Point(-84.239296 33.805085)</t>
  </si>
  <si>
    <t>Flat Shoals Branch</t>
  </si>
  <si>
    <t>4022 Flat Shoals Parkway, Decatur, GA 30034</t>
  </si>
  <si>
    <t>Point(-84.258208 33.69148)</t>
  </si>
  <si>
    <t>Northlake-Barbara Loar Branch</t>
  </si>
  <si>
    <t>3772 LaVista Road, Tucker, GA 30084</t>
  </si>
  <si>
    <t>Point(-84.261036 33.841854)</t>
  </si>
  <si>
    <t>Redan-Trotti Branch</t>
  </si>
  <si>
    <t>1569 Wellborn Road, Lithonia, GA 30074</t>
  </si>
  <si>
    <t>Point(-84.142172 33.745843)</t>
  </si>
  <si>
    <t>Gresham Branch</t>
  </si>
  <si>
    <t>2418 Gresham Road, Atlanta, GA 30316</t>
  </si>
  <si>
    <t>Point(-84.309796 33.718194)</t>
  </si>
  <si>
    <t>Library Administrative Center</t>
  </si>
  <si>
    <t>3560 Kensington Road, Decatur, GA 30032</t>
  </si>
  <si>
    <t>Point(-84.243906 33.771371)</t>
  </si>
  <si>
    <t>Stonecrest Branch</t>
  </si>
  <si>
    <t>3123 Klondike Road, Lithonia, GA 30038</t>
  </si>
  <si>
    <t>Point(-84.109776 33.694347)</t>
  </si>
  <si>
    <t>Tessie W. Norris/Cochran-Bleckley County Library</t>
  </si>
  <si>
    <t>103 N.Third Street, Cochran, GA 31014</t>
  </si>
  <si>
    <t>Point(-83.354049 32.387559)</t>
  </si>
  <si>
    <t>Wilcox County Library</t>
  </si>
  <si>
    <t>104 N. Broad Street, Abbeville, GA 31001</t>
  </si>
  <si>
    <t>Point(-83.307416 31.99256)</t>
  </si>
  <si>
    <t>M.E. Roden Memorial Library</t>
  </si>
  <si>
    <t>400 Commerce Street, Hawkinsville, GA 31036</t>
  </si>
  <si>
    <t>Point(-83.470769 32.283157)</t>
  </si>
  <si>
    <t>Dodge County - Murrell Memorial Library</t>
  </si>
  <si>
    <t>531 Second Avenue, Eastman, GA 31023</t>
  </si>
  <si>
    <t>Point(-83.180204 32.192075)</t>
  </si>
  <si>
    <t>Telfair County Library</t>
  </si>
  <si>
    <t>101 West College Street, McRae, GA 31055</t>
  </si>
  <si>
    <t>Point(-82.909001 32.068166)</t>
  </si>
  <si>
    <t>Wheeler County Library</t>
  </si>
  <si>
    <t>61 West Main Street, Alamo, GA 30411</t>
  </si>
  <si>
    <t>Point(-82.780679 32.143625)</t>
  </si>
  <si>
    <t>Tallulah Massey Library</t>
  </si>
  <si>
    <t>2004 Stratford Drive, Albany, GA 31705</t>
  </si>
  <si>
    <t>Point(-84.099985 31.570686)</t>
  </si>
  <si>
    <t>Westtown Library</t>
  </si>
  <si>
    <t>2124 Waddell Avenue, Albany, GA 31707</t>
  </si>
  <si>
    <t>Point(-84.200993 31.566144)</t>
  </si>
  <si>
    <t>Elbert County Library Bookmobile</t>
  </si>
  <si>
    <t>345 Heard Street, Elberton, GA 30635</t>
  </si>
  <si>
    <t>Point(-82.859624 34.106968)</t>
  </si>
  <si>
    <t>Bowman Service Outlet</t>
  </si>
  <si>
    <t>21 Prince Avenue, Bowman, GA 30624</t>
  </si>
  <si>
    <t>Point(-83.031854 34.204913)</t>
  </si>
  <si>
    <t>Cave Spring Library</t>
  </si>
  <si>
    <t>17 Cedartown Street, Cave Spring, GA 30124</t>
  </si>
  <si>
    <t>Point(-85.335874 34.107215)</t>
  </si>
  <si>
    <t>Cedartown Library</t>
  </si>
  <si>
    <t>245 East Avenue, Cedartown, GA 30125</t>
  </si>
  <si>
    <t>Point(-85.251785 34.014908)</t>
  </si>
  <si>
    <t>Rockmart Library</t>
  </si>
  <si>
    <t>316 North Piedmont Avenue, Rockmart, GA 30153</t>
  </si>
  <si>
    <t>Point(-85.041025 33.998535)</t>
  </si>
  <si>
    <t>Rome-Floyd County Library</t>
  </si>
  <si>
    <t>205 Riverside Parkway, Rome, GA 30161</t>
  </si>
  <si>
    <t>Point(-85.169049 34.258222)</t>
  </si>
  <si>
    <t>Northwest Atlanta Library at Scotts Crossing</t>
  </si>
  <si>
    <t>2489 Perry Boulevard N.W., Atlanta, GA 30318</t>
  </si>
  <si>
    <t>Point(-84.4702858 33.8051378)</t>
  </si>
  <si>
    <t>Adams Park Branch Library</t>
  </si>
  <si>
    <t>2231 Campbellton Road SW, Atlanta, GA 30311</t>
  </si>
  <si>
    <t>Point(-84.461623 33.705733)</t>
  </si>
  <si>
    <t>Adamsville-Collier Heights Branch Library</t>
  </si>
  <si>
    <t>3424 Martin Luther King Jr. Drive, Atlanta, GA 30331</t>
  </si>
  <si>
    <t>Point(-84.500044 33.755108)</t>
  </si>
  <si>
    <t>Alpharetta/Louie E. Jones &amp; Gertrude C. Jones Memorial Library</t>
  </si>
  <si>
    <t>10 Park Plaza, Alpharetta, GA 30009</t>
  </si>
  <si>
    <t>Point(-84.292171 34.073941)</t>
  </si>
  <si>
    <t>Buckhead Branch Library</t>
  </si>
  <si>
    <t>269 Buckhead Avenue NE, Atlanta, GA 30305</t>
  </si>
  <si>
    <t>Point(-84.379323 33.837719)</t>
  </si>
  <si>
    <t>College Park Branch Library</t>
  </si>
  <si>
    <t>3647 Main Street, College Park, GA 30337</t>
  </si>
  <si>
    <t>Point(-84.449657 33.655745)</t>
  </si>
  <si>
    <t>Dogwood Homes Branch Library</t>
  </si>
  <si>
    <t>1838 Donald Lee Hollowell Parkway,, Atlanta, GA 30318</t>
  </si>
  <si>
    <t>Point(-84.447007 33.774059)</t>
  </si>
  <si>
    <t>East Atlanta Branch Library</t>
  </si>
  <si>
    <t>400 Flat Shoals Avenue SE, Atlanta, GA 30316</t>
  </si>
  <si>
    <t>Point(-84.347965 33.743161)</t>
  </si>
  <si>
    <t>Hapeville Branch Library</t>
  </si>
  <si>
    <t>525 King Arnold Street, Hapeville, GA 30354</t>
  </si>
  <si>
    <t>Point(-84.404669 33.658593)</t>
  </si>
  <si>
    <t>Fairburn/Hobgood-Palmer Branch Library</t>
  </si>
  <si>
    <t>60 Valley View Drive, Fairburn, GA 30213</t>
  </si>
  <si>
    <t>Point(-84.584844 33.566901)</t>
  </si>
  <si>
    <t>Kirkwood Branch Library</t>
  </si>
  <si>
    <t>11 Kirkwood Road SE, Atlanta, GA 30317</t>
  </si>
  <si>
    <t>Point(-84.321195 33.75152)</t>
  </si>
  <si>
    <t>Peachtree Branch Library</t>
  </si>
  <si>
    <t>1315 Peachtree Street NE, Atlanta, GA 30309</t>
  </si>
  <si>
    <t>Point(-84.384791 33.790663)</t>
  </si>
  <si>
    <t>Ponce De Leon Branch Library</t>
  </si>
  <si>
    <t>980 Ponce de Leon Avenue NE, Atlanta, GA 30306</t>
  </si>
  <si>
    <t>Point(-84.355105 33.774176)</t>
  </si>
  <si>
    <t>Roswell Branch Library</t>
  </si>
  <si>
    <t>115 Norcross Street, Roswell, GA 30075</t>
  </si>
  <si>
    <t>Point(-84.358008 34.025021)</t>
  </si>
  <si>
    <t>Sandy Springs Regional Library</t>
  </si>
  <si>
    <t>395 Mount Vernon Highway, Atlanta, GA 30328</t>
  </si>
  <si>
    <t>Point(-84.374372 33.924024)</t>
  </si>
  <si>
    <t>Southwest Regional Library</t>
  </si>
  <si>
    <t>3665 Cascade Road SW, Atlanta, GA 30331</t>
  </si>
  <si>
    <t>Point(-84.506726 33.724665)</t>
  </si>
  <si>
    <t>Washington Park/Annie L. Mcpheeters Branch Library</t>
  </si>
  <si>
    <t>1116 Martin Luther King Jr. Drive, Atlanta, GA 30314</t>
  </si>
  <si>
    <t>Point(-84.423726 33.754112)</t>
  </si>
  <si>
    <t>East Point Branch Library</t>
  </si>
  <si>
    <t>2757 Main Street, East Point, GA 30344</t>
  </si>
  <si>
    <t>Point(-84.440697 33.680408)</t>
  </si>
  <si>
    <t>Northeast-Spruill Oaks Regional Library</t>
  </si>
  <si>
    <t>9560 Spruill Road, Johns Creek, GA 30022</t>
  </si>
  <si>
    <t>Point(-84.224322 34.014221)</t>
  </si>
  <si>
    <t>South Fulton Branch Library</t>
  </si>
  <si>
    <t>4055 Flat Shoals Road, Union City, GA 30291</t>
  </si>
  <si>
    <t>Point(-84.519565 33.587795)</t>
  </si>
  <si>
    <t>Mechanicsville Branch Library</t>
  </si>
  <si>
    <t>400 Formwalt Street SW, Atlanta, GA 30312</t>
  </si>
  <si>
    <t>Point(-84.395333333 33.743472222)</t>
  </si>
  <si>
    <t>Cleveland Avenue/Roy Lyndell Yancy, Sr. Branch Library</t>
  </si>
  <si>
    <t>47 Cleveland Avenue SW, Atlanta, GA 30315</t>
  </si>
  <si>
    <t>Point(-84.390601 33.681544)</t>
  </si>
  <si>
    <t>Dr. Robert E. Fulton Regional Library At Ocee</t>
  </si>
  <si>
    <t>5090 Abbotts Bridge Road, Johns Creek, GA 30005</t>
  </si>
  <si>
    <t>Point(-84.209658 34.064617)</t>
  </si>
  <si>
    <t>East Roswell Branch Library</t>
  </si>
  <si>
    <t>2301 Holcomb Bridge Road, Roswell, GA 30076</t>
  </si>
  <si>
    <t>Point(-84.294465 34.002904)</t>
  </si>
  <si>
    <t>Palmetto Branch Library</t>
  </si>
  <si>
    <t>9111 Cascade Palmetto Highway, Palmetto, GA 30268</t>
  </si>
  <si>
    <t>Point(-84.664391 33.530583)</t>
  </si>
  <si>
    <t>Wolf Creek Branch Library</t>
  </si>
  <si>
    <t>3100 Enon Road, Atlanta, GA 30331</t>
  </si>
  <si>
    <t>Point(-84.574208 33.672656)</t>
  </si>
  <si>
    <t>Brantley County Library</t>
  </si>
  <si>
    <t>14046 Cleveland Street East, Nahunta, GA 31553</t>
  </si>
  <si>
    <t>Point(-81.975664 31.202667)</t>
  </si>
  <si>
    <t>Camden County Public Library</t>
  </si>
  <si>
    <t>1410 Highway 40 East, Kingsland, GA 31548</t>
  </si>
  <si>
    <t>Point(-81.645584 30.787053)</t>
  </si>
  <si>
    <t>Charlton County Library</t>
  </si>
  <si>
    <t>1291 Indian Trail, Folkston, GA 31537</t>
  </si>
  <si>
    <t>Point(-82.006153 30.843325)</t>
  </si>
  <si>
    <t>Ida Hilton Public Library</t>
  </si>
  <si>
    <t>1105 North Way, Darien, GA 31305</t>
  </si>
  <si>
    <t>Point(-81.43408 31.3788)</t>
  </si>
  <si>
    <t>Long County Library</t>
  </si>
  <si>
    <t>270 South Main Street, Ludowici, GA 31316</t>
  </si>
  <si>
    <t>Point(-81.745029 31.709612)</t>
  </si>
  <si>
    <t>Hog Hammock Public Library</t>
  </si>
  <si>
    <t>1023 Hillery Lane, Sapelo Island, GA 31327</t>
  </si>
  <si>
    <t>Point(-81.26526 31.42534)</t>
  </si>
  <si>
    <t>Peachtree Corners Branch Library</t>
  </si>
  <si>
    <t>5570 Spalding Drive, Peachtree Corners, GA 30092</t>
  </si>
  <si>
    <t>Point(-84.224267 33.969534)</t>
  </si>
  <si>
    <t>Buford-Sugar Hill Branch Library</t>
  </si>
  <si>
    <t>2100 Buford Highway, Buford, GA 30518</t>
  </si>
  <si>
    <t>Point(-84.000042 34.110526)</t>
  </si>
  <si>
    <t>Snellville Branch Library</t>
  </si>
  <si>
    <t>2740 Lenora Church Road, Snellville, GA 30078</t>
  </si>
  <si>
    <t>Point(-84.012805555 33.8445)</t>
  </si>
  <si>
    <t>Centerville Branch Library</t>
  </si>
  <si>
    <t>3025 Bethany Church Road, Snellville, GA 30039</t>
  </si>
  <si>
    <t>Point(-84.049431 33.816932)</t>
  </si>
  <si>
    <t>Dacula Branch Library</t>
  </si>
  <si>
    <t>265 Dacula Road, Dacula, GA 30019</t>
  </si>
  <si>
    <t>Point(-83.898999 33.994224)</t>
  </si>
  <si>
    <t>Hamilton Mill Branch Library</t>
  </si>
  <si>
    <t>3690 Braselton Highway, Dacula, GA 30019</t>
  </si>
  <si>
    <t>Point(-83.903298 34.069985)</t>
  </si>
  <si>
    <t>Clarkesville Library</t>
  </si>
  <si>
    <t>178 East Green Street, Clarkesville, GA 30523</t>
  </si>
  <si>
    <t>Point(-83.524399 34.615255)</t>
  </si>
  <si>
    <t>Toccoa/Stephens County Public Library</t>
  </si>
  <si>
    <t>53 West Savannah Street, Toccoa, GA 30577</t>
  </si>
  <si>
    <t>Point(-83.331021 34.580719)</t>
  </si>
  <si>
    <t>Rabun County Public Library</t>
  </si>
  <si>
    <t>73 Jo Dotson Circle, Clayton, GA 30525</t>
  </si>
  <si>
    <t>Point(-83.404827 34.880274)</t>
  </si>
  <si>
    <t>Cleveland Branch Library</t>
  </si>
  <si>
    <t>10 Colonial Drive, Cleveland, GA 30528</t>
  </si>
  <si>
    <t>Point(-83.764669 34.598344)</t>
  </si>
  <si>
    <t>Helen Branch Library</t>
  </si>
  <si>
    <t>90 Pete's Park Road, Helen, GA 30545</t>
  </si>
  <si>
    <t>Point(-83.731355 34.703166)</t>
  </si>
  <si>
    <t>Cornelia Library</t>
  </si>
  <si>
    <t>301 North Main Street, Cornelia, GA 30531</t>
  </si>
  <si>
    <t>Point(-83.528822 34.513956)</t>
  </si>
  <si>
    <t>Northeast Georgia Regional Library System Service Office</t>
  </si>
  <si>
    <t>204 Ellison Street, Suites E &amp; F, Clarkesville, GA 30523</t>
  </si>
  <si>
    <t>Point(-83.51392 34.600862)</t>
  </si>
  <si>
    <t>Lumpkin County Library</t>
  </si>
  <si>
    <t>342 Courthouse Hill, Dahlonega, GA 30533</t>
  </si>
  <si>
    <t>Point(-83.980876 34.53576)</t>
  </si>
  <si>
    <t>Dawson County Library</t>
  </si>
  <si>
    <t>342 Allen Street, Dawsonville, GA 30534</t>
  </si>
  <si>
    <t>Point(-84.108445 34.418817)</t>
  </si>
  <si>
    <t>Dawson County Satellite Library</t>
  </si>
  <si>
    <t>145 Liberty Drive, Dawsonville, GA 30534</t>
  </si>
  <si>
    <t>Point(-84.029359 34.356288)</t>
  </si>
  <si>
    <t>Nola Brantley Memorial Library</t>
  </si>
  <si>
    <t>721 Watson Boulevard, Warner Robins, GA 31093</t>
  </si>
  <si>
    <t>Point(-83.607858 32.61849)</t>
  </si>
  <si>
    <t>Louisville Public Library</t>
  </si>
  <si>
    <t>306 East Broad Street, Louisville, GA 30434</t>
  </si>
  <si>
    <t>Point(-82.407019 32.997567)</t>
  </si>
  <si>
    <t>Mccollum Public Library</t>
  </si>
  <si>
    <t>405 North Main Street, Wrens, GA 30833</t>
  </si>
  <si>
    <t>Point(-82.385748 33.212677)</t>
  </si>
  <si>
    <t>Wadley Public Library</t>
  </si>
  <si>
    <t>11 W. College Avenue, Wadley, GA 30477</t>
  </si>
  <si>
    <t>Point(-82.404998 32.868201)</t>
  </si>
  <si>
    <t>Laurens County Library</t>
  </si>
  <si>
    <t>801 Bellevue Avenue, Dublin, GA 31021</t>
  </si>
  <si>
    <t>Point(-82.916327 32.537808)</t>
  </si>
  <si>
    <t>Harlie Fulford Memorial Library</t>
  </si>
  <si>
    <t>2456 W Elm Street, Wrightsville, GA 31096</t>
  </si>
  <si>
    <t>Point(-82.722689 32.729248)</t>
  </si>
  <si>
    <t>Treutlen County Library</t>
  </si>
  <si>
    <t>585 Second Street, Soperton, GA 30457</t>
  </si>
  <si>
    <t>Point(-82.593737 32.376446)</t>
  </si>
  <si>
    <t>Rosa M. Tarbutton Memorial Library</t>
  </si>
  <si>
    <t>314 South Harris Street, Sandersville, GA 31082</t>
  </si>
  <si>
    <t>Point(-82.811073 32.977523)</t>
  </si>
  <si>
    <t>Glascock County Library</t>
  </si>
  <si>
    <t>738 Railroad Avenue, Gibson, GA 30810</t>
  </si>
  <si>
    <t>Point(-82.587382 33.226916)</t>
  </si>
  <si>
    <t>Miller Lakeland Library</t>
  </si>
  <si>
    <t>18 South Valdosta Road, Lakeland, GA 31635</t>
  </si>
  <si>
    <t>Point(-83.075431 31.039837)</t>
  </si>
  <si>
    <t>Salter Hahira Library</t>
  </si>
  <si>
    <t>220 East Main Street, Hahira, GA 31632</t>
  </si>
  <si>
    <t>Point(-83.36811 30.991449)</t>
  </si>
  <si>
    <t>Johnston Lakes Library</t>
  </si>
  <si>
    <t>720 Lakes Boulevard, Lake Park, GA 31636</t>
  </si>
  <si>
    <t>Point(-83.211109 30.683524)</t>
  </si>
  <si>
    <t>Allen Statenville Library</t>
  </si>
  <si>
    <t>US 129 &amp; Jackson Street, Statenville, GA 31648</t>
  </si>
  <si>
    <t>Point(-83.027803 30.70262)</t>
  </si>
  <si>
    <t>McMullen Southside Library</t>
  </si>
  <si>
    <t>527 Griffin Avenue, Valdosta, GA 31601</t>
  </si>
  <si>
    <t>Point(-83.263839 30.818023)</t>
  </si>
  <si>
    <t>Greenville Area Public Library</t>
  </si>
  <si>
    <t>2323 Gilbert Street, Greenville, GA 30222</t>
  </si>
  <si>
    <t>Point(-84.709881 33.026331)</t>
  </si>
  <si>
    <t>Talbot County Library</t>
  </si>
  <si>
    <t>175 North Jefferson Street, Talbotton, GA 31827</t>
  </si>
  <si>
    <t>Point(-84.541646 32.678822)</t>
  </si>
  <si>
    <t>Butler Public Library</t>
  </si>
  <si>
    <t>56 West Main Street, Butler, GA 31006</t>
  </si>
  <si>
    <t>Point(-84.241534 32.558839)</t>
  </si>
  <si>
    <t>Reynolds Community Library</t>
  </si>
  <si>
    <t>208 S. Winston Street, Reynolds, GA 31067</t>
  </si>
  <si>
    <t>Point(-84.095707 32.560378)</t>
  </si>
  <si>
    <t>Hightower Memorial Library</t>
  </si>
  <si>
    <t>800 West Gordon Street, Thomaston, GA 30286</t>
  </si>
  <si>
    <t>Point(-84.336591 32.887839)</t>
  </si>
  <si>
    <t>Yatesville Public Library</t>
  </si>
  <si>
    <t>77 Childs Avenue, Yatesville, GA 31097</t>
  </si>
  <si>
    <t>Point(-84.145149 32.911895)</t>
  </si>
  <si>
    <t>Admin./extension Services</t>
  </si>
  <si>
    <t>218 W. Perry Street, Manchester, GA 31816</t>
  </si>
  <si>
    <t>Point(-84.61093 32.859997)</t>
  </si>
  <si>
    <t>De Soto Trail Regional Library System Headquarters</t>
  </si>
  <si>
    <t>145 East Broad Street, Camilla, GA 31730</t>
  </si>
  <si>
    <t>Point(-84.203517 31.230767)</t>
  </si>
  <si>
    <t>Lucy Hilton Maddox Memorial Library</t>
  </si>
  <si>
    <t>11880 Columbia Street, Blakely, GA 39823</t>
  </si>
  <si>
    <t>Point(-84.943895 31.374523)</t>
  </si>
  <si>
    <t>Pelham Carnegie Library</t>
  </si>
  <si>
    <t>133 Hand Avenue, Pelham, GA 31779</t>
  </si>
  <si>
    <t>Point(-84.1533 31.127332)</t>
  </si>
  <si>
    <t>Baker County Library</t>
  </si>
  <si>
    <t>398 Georgia Highway 37 SW, Newton, GA 39870</t>
  </si>
  <si>
    <t>Point(-84.348952 31.311803)</t>
  </si>
  <si>
    <t>Sale City Library</t>
  </si>
  <si>
    <t>154 Barnes Street, Sale City, GA 31784</t>
  </si>
  <si>
    <t>Point(-84.021262 31.260687)</t>
  </si>
  <si>
    <t>Hancock County Library</t>
  </si>
  <si>
    <t>8984 East Broad Street, Sparta, GA 31087</t>
  </si>
  <si>
    <t>Point(-82.968121 33.275434)</t>
  </si>
  <si>
    <t>Jasper County Library</t>
  </si>
  <si>
    <t>319 East Green Street, Monticello, GA 31064</t>
  </si>
  <si>
    <t>Point(-83.680623 33.303951)</t>
  </si>
  <si>
    <t>Eatonton-Putnam County Library</t>
  </si>
  <si>
    <t>309 North Madison Avenue, Eatonton, GA 31024</t>
  </si>
  <si>
    <t>Point(-83.392461 33.329414)</t>
  </si>
  <si>
    <t>O'Kelly Memorial Library</t>
  </si>
  <si>
    <t>363 Conyers Road, Loganville, GA 30052</t>
  </si>
  <si>
    <t>Point(-83.903292 33.838183)</t>
  </si>
  <si>
    <t>Monroe-Walton County Library</t>
  </si>
  <si>
    <t>217 West Spring Street, Monroe, GA 30655</t>
  </si>
  <si>
    <t>Point(-83.715507 33.793917)</t>
  </si>
  <si>
    <t>W. H. Stanton Memorial Library</t>
  </si>
  <si>
    <t>407 W. Hightower Trail, Social Circle, GA 30025</t>
  </si>
  <si>
    <t>Point(-83.724676 33.659894)</t>
  </si>
  <si>
    <t>Steve W. Schaefer Regional Headquarters Building</t>
  </si>
  <si>
    <t>1121 East Avenue, Madison, GA 30650</t>
  </si>
  <si>
    <t>Point(-83.453232 33.594908)</t>
  </si>
  <si>
    <t>Mildred L. Terry Public Library</t>
  </si>
  <si>
    <t>640 Veterans Parkway, Columbus, GA 31901</t>
  </si>
  <si>
    <t>Point(-84.987281 32.45824)</t>
  </si>
  <si>
    <t>Chattahoochee County Public Library</t>
  </si>
  <si>
    <t>262 Broad Street, Cusseta, GA 31903</t>
  </si>
  <si>
    <t>Point(-84.786145 32.308079)</t>
  </si>
  <si>
    <t>North Columbus Branch Library</t>
  </si>
  <si>
    <t>5689 Armour Road, Columbus, GA 31909</t>
  </si>
  <si>
    <t>Point(-84.954339 32.525881)</t>
  </si>
  <si>
    <t>South Columbus Branch Library</t>
  </si>
  <si>
    <t>2034 S. Lumpkin Road, Columbus, GA 31903</t>
  </si>
  <si>
    <t>Point(-84.951746 32.415099)</t>
  </si>
  <si>
    <t>CVRLS Bookmobile II</t>
  </si>
  <si>
    <t>3000 Macon Road, Columbus, GA 31906</t>
  </si>
  <si>
    <t>Point(-84.94786 32.47725)</t>
  </si>
  <si>
    <t>Covington Branch Library</t>
  </si>
  <si>
    <t>7116 Floyd Street, Covington, GA 30014</t>
  </si>
  <si>
    <t>Point(-83.839339 33.599309)</t>
  </si>
  <si>
    <t>Newborn Library Service Outlet</t>
  </si>
  <si>
    <t>4224 Highway 142, Newborn, GA 30056</t>
  </si>
  <si>
    <t>Point(-83.694712 33.516176)</t>
  </si>
  <si>
    <t>Porter Memorial Library</t>
  </si>
  <si>
    <t>6191 Highway 212, Covington, GA 30016</t>
  </si>
  <si>
    <t>Point(-84.00573 33.525491)</t>
  </si>
  <si>
    <t>Byron Public Library</t>
  </si>
  <si>
    <t>105 Church Street, Byron, GA 31008</t>
  </si>
  <si>
    <t>Point(-83.759421 32.650904)</t>
  </si>
  <si>
    <t>Appleby Branch Library</t>
  </si>
  <si>
    <t>2260 Walton Way, Augusta, GA 30904</t>
  </si>
  <si>
    <t>Point(-82.016251 33.477275)</t>
  </si>
  <si>
    <t>Friedman Branch Library</t>
  </si>
  <si>
    <t>1447 Jackson Road, Augusta, GA 30909</t>
  </si>
  <si>
    <t>Point(-82.069033 33.471631)</t>
  </si>
  <si>
    <t>Wallace Branch Library</t>
  </si>
  <si>
    <t>1237 Laney Walker Boulevard, Augusta, GA 30901</t>
  </si>
  <si>
    <t>Point(-81.980344 33.466276)</t>
  </si>
  <si>
    <t>Diamond Lakes Branch Library</t>
  </si>
  <si>
    <t>101 Diamond Lakes Way, Hephzibah, GA 30815</t>
  </si>
  <si>
    <t>Point(-82.085911 33.356204)</t>
  </si>
  <si>
    <t>Nancy Guinn Memorial Library</t>
  </si>
  <si>
    <t>864 Green Street, Conyers, GA 30012</t>
  </si>
  <si>
    <t>Point(-84.01813 33.66487)</t>
  </si>
  <si>
    <t>Screven County Library</t>
  </si>
  <si>
    <t>106 South Community Drive, Sylvania, GA 30467</t>
  </si>
  <si>
    <t>Point(-81.643679 32.749642)</t>
  </si>
  <si>
    <t>Jenkins County Memorial Library</t>
  </si>
  <si>
    <t>223 Daniel Street, Millen, GA 30442</t>
  </si>
  <si>
    <t>Point(-81.939805 32.8043)</t>
  </si>
  <si>
    <t>Griffin-Spalding County Library</t>
  </si>
  <si>
    <t>800 Memorial Drive, Griffin, GA 30223</t>
  </si>
  <si>
    <t>Point(-84.253395 33.245273)</t>
  </si>
  <si>
    <t>Barnesville-Lamar County Library</t>
  </si>
  <si>
    <t>401 Thomaston Street, Barnesville, GA 30204</t>
  </si>
  <si>
    <t>Point(-84.157475 33.051999)</t>
  </si>
  <si>
    <t>Fayette County Public Library</t>
  </si>
  <si>
    <t>1821 Heritage Park Way, Fayetteville, GA 30214</t>
  </si>
  <si>
    <t>Point(-84.456988 33.446054)</t>
  </si>
  <si>
    <t>Jackson-Butts County Public Library</t>
  </si>
  <si>
    <t>436 East College Street, Jackson, GA 30233</t>
  </si>
  <si>
    <t>Point(-83.962751 33.292432)</t>
  </si>
  <si>
    <t>J. Joel Edwards Public Library</t>
  </si>
  <si>
    <t>7077 Highway 19 South, Zebulon, GA 30295</t>
  </si>
  <si>
    <t>Point(-84.346481 33.08497)</t>
  </si>
  <si>
    <t>Peachtree City Library</t>
  </si>
  <si>
    <t>201 Willowbend Road, Peachtree City, GA 30269</t>
  </si>
  <si>
    <t>Point(-84.580622 33.400289)</t>
  </si>
  <si>
    <t>Tyrone Public Library</t>
  </si>
  <si>
    <t>143 Commerce Drive, Tyrone, GA 30290</t>
  </si>
  <si>
    <t>Point(-84.593878 33.476158)</t>
  </si>
  <si>
    <t>Cordele-Crisp Carnegie Library</t>
  </si>
  <si>
    <t>115 East 11th Avenue, Cordele, GA 31010</t>
  </si>
  <si>
    <t>Point(-83.781567 31.969291)</t>
  </si>
  <si>
    <t>Schley County Library</t>
  </si>
  <si>
    <t>54 South Broad Street, Ellaville, GA 31806</t>
  </si>
  <si>
    <t>Point(-84.309198 32.237359)</t>
  </si>
  <si>
    <t>Elizabeth Harris Library</t>
  </si>
  <si>
    <t>312 Harmon Street, Unadilla, GA 31091</t>
  </si>
  <si>
    <t>Point(-83.734868 32.268556)</t>
  </si>
  <si>
    <t>Dooly County Library</t>
  </si>
  <si>
    <t>1200 East Union Street, Vienna, GA 31092</t>
  </si>
  <si>
    <t>Point(-83.77373 32.086579)</t>
  </si>
  <si>
    <t>Byromville Public Library</t>
  </si>
  <si>
    <t>452 Main Street, Byromville, GA 31007</t>
  </si>
  <si>
    <t>Point(-83.906565 32.201994)</t>
  </si>
  <si>
    <t>Terrell County Library</t>
  </si>
  <si>
    <t>913 Forrester Drive SE, Dawson, GA 39842</t>
  </si>
  <si>
    <t>Point(-84.437633 31.759985)</t>
  </si>
  <si>
    <t>Randolph County Library</t>
  </si>
  <si>
    <t>106 Pearl Street, Cuthbert, GA 39840</t>
  </si>
  <si>
    <t>Point(-84.788985 31.771892)</t>
  </si>
  <si>
    <t>Webster County Library</t>
  </si>
  <si>
    <t>40 Cemetery Road, Preston, GA 31824</t>
  </si>
  <si>
    <t>Point(-84.53353 32.066222)</t>
  </si>
  <si>
    <t>Quitman County Library</t>
  </si>
  <si>
    <t>39 Old School Road, Georgetown, GA 39854</t>
  </si>
  <si>
    <t>Point(-85.100333333 31.885916666)</t>
  </si>
  <si>
    <t>Pavo Public Library</t>
  </si>
  <si>
    <t>3031 East Harris Street, Pavo, GA 31778</t>
  </si>
  <si>
    <t>Point(-83.738876 30.960204)</t>
  </si>
  <si>
    <t>Meigs Public Library</t>
  </si>
  <si>
    <t>3058 North East Railroad Street, Meigs, GA 31765</t>
  </si>
  <si>
    <t>Point(-84.092637 31.075029)</t>
  </si>
  <si>
    <t>Gladys H. Clark Library</t>
  </si>
  <si>
    <t>1060 North East Railroad Street, Ochlocknee, GA 31738</t>
  </si>
  <si>
    <t>Point(-84.054042 30.974987)</t>
  </si>
  <si>
    <t>Boston Carnegie Library</t>
  </si>
  <si>
    <t>250 South Main Street, Boston, GA 31626</t>
  </si>
  <si>
    <t>Point(-83.790493 30.790416)</t>
  </si>
  <si>
    <t>Coolidge Public Library</t>
  </si>
  <si>
    <t>1029 East Verbena Avenue, Coolidge, GA 31738</t>
  </si>
  <si>
    <t>Point(-83.866508 31.010287)</t>
  </si>
  <si>
    <t>Coastal Plain Regional Library Headquarters</t>
  </si>
  <si>
    <t>2014 Chestnut Avenue, Tifton, GA 31794</t>
  </si>
  <si>
    <t>Point(-83.501257 31.473422)</t>
  </si>
  <si>
    <t>Carrie Dorsey Perry Memorial Library</t>
  </si>
  <si>
    <t>315 West Marion Avenue, Nashville, GA 31639</t>
  </si>
  <si>
    <t>Point(-83.252253 31.207776)</t>
  </si>
  <si>
    <t>Cook County Library</t>
  </si>
  <si>
    <t>213 East Second Street, Adel, GA 31620</t>
  </si>
  <si>
    <t>Point(-83.422403 31.140422)</t>
  </si>
  <si>
    <t>Irwin County Library</t>
  </si>
  <si>
    <t>310 South Beech Street, Ocilla, GA 31774</t>
  </si>
  <si>
    <t>Point(-83.251597 31.591579)</t>
  </si>
  <si>
    <t>Tifton-Tift County Public Library</t>
  </si>
  <si>
    <t>245 Love Avenue, Tifton, GA 31794</t>
  </si>
  <si>
    <t>Point(-83.508366 31.455178)</t>
  </si>
  <si>
    <t>Victoria Evans Memorial Library</t>
  </si>
  <si>
    <t>605 North Street, Ashburn, GA 31714</t>
  </si>
  <si>
    <t>Point(-83.655106 31.712419)</t>
  </si>
  <si>
    <t>Fannin County Public Library</t>
  </si>
  <si>
    <t>400 West Main Street, Suite 104, Blue Ridge, GA 30513</t>
  </si>
  <si>
    <t>Point(-84.326751 34.864404)</t>
  </si>
  <si>
    <t>LaGrange Memorial Library</t>
  </si>
  <si>
    <t>115 Alford Street, LaGrange, GA 30240</t>
  </si>
  <si>
    <t>Point(-85.037586 33.03714)</t>
  </si>
  <si>
    <t>Hogansville Public Library</t>
  </si>
  <si>
    <t>310 Johnson Street, Hogansville, GA 30230</t>
  </si>
  <si>
    <t>Point(-84.911592 33.178155)</t>
  </si>
  <si>
    <t>Lafayette-walker County Public Library</t>
  </si>
  <si>
    <t>305 South Duke Street, Lafayette, GA 30728</t>
  </si>
  <si>
    <t>Point(-85.280778 34.702494)</t>
  </si>
  <si>
    <t>Dade County Public Library</t>
  </si>
  <si>
    <t>102 Court Street, Trenton, GA 30752</t>
  </si>
  <si>
    <t>Point(-85.509619 34.873055)</t>
  </si>
  <si>
    <t>Chickamauga Public Library</t>
  </si>
  <si>
    <t>306 Cove Road, Chickamauga, GA 30707</t>
  </si>
  <si>
    <t>Point(-85.293464 34.869263)</t>
  </si>
  <si>
    <t>Chatsworth-Murray County Library</t>
  </si>
  <si>
    <t>100 North 3rd Avenue, Chatsworth, GA 30705</t>
  </si>
  <si>
    <t>Point(-84.769365 34.766324)</t>
  </si>
  <si>
    <t>Calhoun-Gordon County Library</t>
  </si>
  <si>
    <t>100 North Park Avenue, Calhoun, GA 30701</t>
  </si>
  <si>
    <t>Point(-84.952412 34.503287)</t>
  </si>
  <si>
    <t>Dalton-Whitfield County Library</t>
  </si>
  <si>
    <t>310 Cappes Street, Dalton, GA 30720</t>
  </si>
  <si>
    <t>Point(-84.977759 34.775409)</t>
  </si>
  <si>
    <t>Thomson-McDuffie County Library</t>
  </si>
  <si>
    <t>338 Main Street, Thomson, GA 30824</t>
  </si>
  <si>
    <t>Point(-82.504042 33.470036)</t>
  </si>
  <si>
    <t>Taliaferro County Library</t>
  </si>
  <si>
    <t>117 Askin Street, Crawfordville, GA 30631</t>
  </si>
  <si>
    <t>Point(-82.895621 33.553597)</t>
  </si>
  <si>
    <t>Tattnall County Library</t>
  </si>
  <si>
    <t>129 Tattnall St, Reidsville, GA 30453</t>
  </si>
  <si>
    <t>Point(-82.120778 32.082949)</t>
  </si>
  <si>
    <t>Glennville Public Library</t>
  </si>
  <si>
    <t>408 East Barnard Street, Glennville, GA 30427</t>
  </si>
  <si>
    <t>Point(-81.923645 31.93507)</t>
  </si>
  <si>
    <t>Vidalia-Toombs County Library</t>
  </si>
  <si>
    <t>610 Jackson Street, Vidalia, GA 30474</t>
  </si>
  <si>
    <t>Point(-82.414687 32.211358)</t>
  </si>
  <si>
    <t>Nelle Brown Memorial Library</t>
  </si>
  <si>
    <t>166 West Liberty Street, Lyons, GA 30436</t>
  </si>
  <si>
    <t>Point(-82.323813 32.202864)</t>
  </si>
  <si>
    <t>Ladson Genealogical Library</t>
  </si>
  <si>
    <t>125 Church Street, Suite 104, Vidalia, GA 30474</t>
  </si>
  <si>
    <t>Point(-82.413238 32.217987)</t>
  </si>
  <si>
    <t>Jeff Davis County Library</t>
  </si>
  <si>
    <t>189 E Jarman St, Hazlehurst, GA 31539</t>
  </si>
  <si>
    <t>Point(-82.582052 31.863476)</t>
  </si>
  <si>
    <t>Appling County Public Library</t>
  </si>
  <si>
    <t>242 E. Parker Street, Baxley, GA 31513</t>
  </si>
  <si>
    <t>Point(-82.345005 31.776754)</t>
  </si>
  <si>
    <t>Alma-Bacon County Public Library</t>
  </si>
  <si>
    <t>201 North Pierce Street, Alma, GA 31510</t>
  </si>
  <si>
    <t>Point(-82.461548 31.54236)</t>
  </si>
  <si>
    <t>Clinch County Public Library</t>
  </si>
  <si>
    <t>478 West Dame Street, Homerville, GA 31634</t>
  </si>
  <si>
    <t>Point(-82.755337 31.036018)</t>
  </si>
  <si>
    <t>Pierce County Public Library</t>
  </si>
  <si>
    <t>785 College Avenue, Blackshear, GA 31516</t>
  </si>
  <si>
    <t>Point(-82.232966 31.296743)</t>
  </si>
  <si>
    <t>Waycross-Ware County Public Library</t>
  </si>
  <si>
    <t>401 Lee Avenue, Waycross, GA 31501</t>
  </si>
  <si>
    <t>Point(-82.353603 31.20753)</t>
  </si>
  <si>
    <t>Cochran Public Library</t>
  </si>
  <si>
    <t>174 Burke Street, Stockbridge, GA 30281</t>
  </si>
  <si>
    <t>Point(-84.23491 33.548186)</t>
  </si>
  <si>
    <t>Fortson Public Library</t>
  </si>
  <si>
    <t>61 McDonough Street, Hampton, GA 30228</t>
  </si>
  <si>
    <t>Point(-84.274138 33.38342)</t>
  </si>
  <si>
    <t>Locust Grove Public Library</t>
  </si>
  <si>
    <t>115 Martin Luther King Jr. Boulevard, Locust Grove, GA 30248</t>
  </si>
  <si>
    <t>Point(-84.107809 33.337102)</t>
  </si>
  <si>
    <t>Mcdonough Public Library</t>
  </si>
  <si>
    <t>1001 Florence McGarity Boulevard, McDonough, GA 30252</t>
  </si>
  <si>
    <t>Point(-84.127358 33.44295)</t>
  </si>
  <si>
    <t>Leesburg Library</t>
  </si>
  <si>
    <t>245 Walnut Avenue South, Leesburg, GA 31763</t>
  </si>
  <si>
    <t>Point(-84.171691 31.722142)</t>
  </si>
  <si>
    <t>Redbone Library</t>
  </si>
  <si>
    <t>104 Thundering Springs Road, Leesburg, GA 31763</t>
  </si>
  <si>
    <t>Point(-84.075777 31.673807)</t>
  </si>
  <si>
    <t>Sharon Forks Library</t>
  </si>
  <si>
    <t>2820 Old Atlanta Road, Cumming, GA 30041</t>
  </si>
  <si>
    <t>Point(-84.156568 34.118808)</t>
  </si>
  <si>
    <t>Hampton Park Library</t>
  </si>
  <si>
    <t>5345 Settingdown Road, Cumming, GA 30041</t>
  </si>
  <si>
    <t>Point(-84.067554 34.305275)</t>
  </si>
  <si>
    <t>Post Road Library</t>
  </si>
  <si>
    <t>5010 Post Road, Cumming, GA 30040</t>
  </si>
  <si>
    <t>Point(-84.220614 34.205557)</t>
  </si>
  <si>
    <t>Blackshear Place Library</t>
  </si>
  <si>
    <t>2927 Atlanta Highway, Gainesville, GA 30507</t>
  </si>
  <si>
    <t>Point(-83.858145 34.227404)</t>
  </si>
  <si>
    <t>Murrayville Branch Library</t>
  </si>
  <si>
    <t>4796 Thompson Bridge Road, Gainesville, GA 30506</t>
  </si>
  <si>
    <t>Point(-83.891257 34.401749)</t>
  </si>
  <si>
    <t>Hall County Library - Headquarters</t>
  </si>
  <si>
    <t>127 Main Street Nw, Gainesville, GA 30501</t>
  </si>
  <si>
    <t>Point(-83.828612 34.300192)</t>
  </si>
  <si>
    <t>Spout Springs Branch Library</t>
  </si>
  <si>
    <t>6488 Spout Springs Road, Flowery Branch, GA 30542</t>
  </si>
  <si>
    <t>Point(-83.894388 34.15239)</t>
  </si>
  <si>
    <t>North Hall Technology Center Branch</t>
  </si>
  <si>
    <t>4175 Nopone Road, Suite B, Gainesville, GA 30506</t>
  </si>
  <si>
    <t>Point(-83.79806 34.40587)</t>
  </si>
  <si>
    <t>Mary Vinson Memorial Library</t>
  </si>
  <si>
    <t>151 South Jefferson Street SE, Milledgeville, GA 31061</t>
  </si>
  <si>
    <t>Point(-83.225475 33.08044)</t>
  </si>
  <si>
    <t>Lake Sinclair Library</t>
  </si>
  <si>
    <t>130 Log Cabin Road, Unit D, Milledgeville, GA 31061</t>
  </si>
  <si>
    <t>Point(-83.269148 33.151257)</t>
  </si>
  <si>
    <t>A. Mitchell Powell, Jr. Branch</t>
  </si>
  <si>
    <t>25 Hospital Road, Newnan, GA 30263</t>
  </si>
  <si>
    <t>Point(-84.816571 33.387812)</t>
  </si>
  <si>
    <t>Central Library</t>
  </si>
  <si>
    <t>85 Literary Lane, Newnan, GA 30265</t>
  </si>
  <si>
    <t>Point(-84.669733 33.385682)</t>
  </si>
  <si>
    <t>Grantville Branch Library</t>
  </si>
  <si>
    <t>100 Park Drive, Grantville, GA 30220</t>
  </si>
  <si>
    <t>Point(-84.83644 33.237783)</t>
  </si>
  <si>
    <t>Senoia Branch Library</t>
  </si>
  <si>
    <t>148 Plyant Street, Senoia, GA 30276</t>
  </si>
  <si>
    <t>Point(-84.561307 33.297804)</t>
  </si>
  <si>
    <t>Euchee Creek Library</t>
  </si>
  <si>
    <t>5907 Euchee Creek Drive, Grovetown, GA 30813</t>
  </si>
  <si>
    <t>Point(-82.265673 33.476958)</t>
  </si>
  <si>
    <t>Harlem Library</t>
  </si>
  <si>
    <t>145 North Louisville Street, Harlem, GA 30814</t>
  </si>
  <si>
    <t>Point(-82.311542 33.415073)</t>
  </si>
  <si>
    <t>Warren County Library</t>
  </si>
  <si>
    <t>10 Warren Street, Warrenton, GA 30828</t>
  </si>
  <si>
    <t>Point(-82.661128 33.408124)</t>
  </si>
  <si>
    <t>Sardis Public Library</t>
  </si>
  <si>
    <t>750 Charles Perry Avenue, Sardis, GA 30456</t>
  </si>
  <si>
    <t>Point(-81.7576 32.974971)</t>
  </si>
  <si>
    <t>Midville Public Library</t>
  </si>
  <si>
    <t>149 Trout Street, Midville, GA 30441</t>
  </si>
  <si>
    <t>Point(-82.236459 32.818271)</t>
  </si>
  <si>
    <t>St. Simons Island Public Library</t>
  </si>
  <si>
    <t>530A Beachview Drive, St. Simons Island, GA 31522</t>
  </si>
  <si>
    <t>Point(-81.395395 31.134771)</t>
  </si>
  <si>
    <t>New Echota</t>
  </si>
  <si>
    <t>1211 Chatsworth Highway NE, Calhoun, GA 30701</t>
  </si>
  <si>
    <t>Point(-84.910033 34.540433)</t>
  </si>
  <si>
    <t>396 Oconee Street, Athens, GA 30601</t>
  </si>
  <si>
    <t>Point(-83.369055 33.95513)</t>
  </si>
  <si>
    <t>Oak Hill &amp; The Martha Berry Museum</t>
  </si>
  <si>
    <t>2277 Martha Berry Highway NW, Mount Berry, GA 30149</t>
  </si>
  <si>
    <t>Point(-85.180202 34.277047)</t>
  </si>
  <si>
    <t>Odum Library</t>
  </si>
  <si>
    <t>Point(-83.289307 30.847393)</t>
  </si>
  <si>
    <t>Okefenokee National Wildlife Refuge</t>
  </si>
  <si>
    <t>2700 Suwannee Canal Road, Folkston, GA 31537</t>
  </si>
  <si>
    <t>Point(-82.139736 30.738115)</t>
  </si>
  <si>
    <t>Okefenokee Swamp Park</t>
  </si>
  <si>
    <t>5700 Okefenokee Swamp Park Rd, Waycross, GA 31503</t>
  </si>
  <si>
    <t>Point(-82.272283 31.056906)</t>
  </si>
  <si>
    <t>Old Governor's Mansion</t>
  </si>
  <si>
    <t>Point(-83.231465 33.079671)</t>
  </si>
  <si>
    <t>Omenala Griot Afrocentric Teaching Museum</t>
  </si>
  <si>
    <t>Point(-84.4246 33.7459)</t>
  </si>
  <si>
    <t>Pebble Hill Plantation</t>
  </si>
  <si>
    <t>1251 U.S. Hwy 319 South, Thomasville, GA 31799</t>
  </si>
  <si>
    <t>Point(-84.064139 30.781365)</t>
  </si>
  <si>
    <t>Plum Orchard</t>
  </si>
  <si>
    <t>Point(-81.4652 30.8559)</t>
  </si>
  <si>
    <t>Prater's Mill</t>
  </si>
  <si>
    <t>5845 GA-2, Dalton, GA 30721</t>
  </si>
  <si>
    <t>Point(-84.919328 34.895162)</t>
  </si>
  <si>
    <t>Cobb Landmarks</t>
  </si>
  <si>
    <t>80 North Marietta Parkway NW, Marietta, GA 30060</t>
  </si>
  <si>
    <t>Point(-84.552042 33.954651)</t>
  </si>
  <si>
    <t>Roland Hayes Museum</t>
  </si>
  <si>
    <t>212 South Wall Street, Calhoun, GA 30703</t>
  </si>
  <si>
    <t>Point(-84.95106 34.50161)</t>
  </si>
  <si>
    <t>Old Fort Jackson</t>
  </si>
  <si>
    <t>1 Fort Jackson Road, Savannah, GA 31404</t>
  </si>
  <si>
    <t>Point(-81.036665 32.080984)</t>
  </si>
  <si>
    <t>Pin Point Heritage Museum</t>
  </si>
  <si>
    <t>9924 Pin Point Avenue, Savannah, GA 31406</t>
  </si>
  <si>
    <t>Point(-81.090242 31.952208)</t>
  </si>
  <si>
    <t>Savannah Children's Museum</t>
  </si>
  <si>
    <t>655 Louisville Rd, Savannah, GA 31401</t>
  </si>
  <si>
    <t>Point(-81.102498 32.075277)</t>
  </si>
  <si>
    <t>Savannah History Museum</t>
  </si>
  <si>
    <t>303 Martin Luther King, Jr. Blvd., Savannah, GA 31401</t>
  </si>
  <si>
    <t>Point(-81.099446 32.076131)</t>
  </si>
  <si>
    <t>Erskine Caldwell Birthplace and Museum</t>
  </si>
  <si>
    <t>7 Main St., Moreland GA 30259</t>
  </si>
  <si>
    <t>Point(-84.769870981 33.285697689)</t>
  </si>
  <si>
    <t>Tabor House and Civil War Museum</t>
  </si>
  <si>
    <t>Point(-84.483944444 34.694444444)</t>
  </si>
  <si>
    <t>Dublin-Laurens County Museum</t>
  </si>
  <si>
    <t>702 Bellevue Ave, Dublin, GA 31021</t>
  </si>
  <si>
    <t>Point(-82.914055 32.537358)</t>
  </si>
  <si>
    <t>LeConte-Woodmanston Plantation and Botanical Garden</t>
  </si>
  <si>
    <t>4918 Barrington Ferry Road, Riceboro, Georgia 31323</t>
  </si>
  <si>
    <t>Point(-81.475677 31.701719)</t>
  </si>
  <si>
    <t>McRitchie-Hollis Museum</t>
  </si>
  <si>
    <t>74 Jackson Street, Newnan, GA 30263</t>
  </si>
  <si>
    <t>Point(-84.800404 33.380695)</t>
  </si>
  <si>
    <t>Senioa Area Historical Society History Museum</t>
  </si>
  <si>
    <t>6 Couch Street, Senoia, GA 30276</t>
  </si>
  <si>
    <t>Point(-84.555804 33.305501)</t>
  </si>
  <si>
    <t>Georgia Museum of Surveying and Mapping</t>
  </si>
  <si>
    <t>100 W Roosevelt Avenue, Albany, GA 31701</t>
  </si>
  <si>
    <t>Point(-84.149815 31.581817)</t>
  </si>
  <si>
    <t>Wetherbee Planetarium</t>
  </si>
  <si>
    <t>South Georgia Archives</t>
  </si>
  <si>
    <t>Legacy Museum on Main</t>
  </si>
  <si>
    <t>136 Main Street, LaGrange, GA 30241</t>
  </si>
  <si>
    <t>Point(-85.03133 33.037532)</t>
  </si>
  <si>
    <t>Brown House Museum</t>
  </si>
  <si>
    <t>268 North Harris Street, Sandersville, GA 31082</t>
  </si>
  <si>
    <t>Point(-82.809689 32.988351)</t>
  </si>
  <si>
    <t>Warthen Old Jail</t>
  </si>
  <si>
    <t>7616 Highway 15 North, Warthen, GA 31094</t>
  </si>
  <si>
    <t>Point(-82.805051 33.101318)</t>
  </si>
  <si>
    <t>Charles E. Choate Museum</t>
  </si>
  <si>
    <t>603 South Harris Street, Sandersville, GA 31082</t>
  </si>
  <si>
    <t>Point(-82.808222 32.973833)</t>
  </si>
  <si>
    <t>Thomas Jefferson Elder Community Center</t>
  </si>
  <si>
    <t>316 Hall Street, Sandersville, GA 31082</t>
  </si>
  <si>
    <t>Point(-82.816104 32.977649)</t>
  </si>
  <si>
    <t>Sandersville School</t>
  </si>
  <si>
    <t>514 North Harris Street, Sandersville, GA 31082</t>
  </si>
  <si>
    <t>Point(-82.809293 32.994994)</t>
  </si>
  <si>
    <t>Old Jail Museum and Genealogy Research Center</t>
  </si>
  <si>
    <t>129 Jones Street, Sandersville, GA 31082</t>
  </si>
  <si>
    <t>Point(-82.812363 32.983831)</t>
  </si>
  <si>
    <t>Atlanta Federal Reserve Bank Monetary Museum</t>
  </si>
  <si>
    <t>1000 Peachtree Street NE, Atlanta, GA 30309</t>
  </si>
  <si>
    <t>Point(-84.385307 33.782328)</t>
  </si>
  <si>
    <t>Bandy Heritage Center for Northwest Georgia</t>
  </si>
  <si>
    <t>650 College Drive, Dalton, GA 30720</t>
  </si>
  <si>
    <t>Point(-85.002916666 34.772777777)</t>
  </si>
  <si>
    <t>Bartow History Museum</t>
  </si>
  <si>
    <t>4 East Church Street, Cartersville, GA 30120</t>
  </si>
  <si>
    <t>Point(-84.795833333 34.167222222)</t>
  </si>
  <si>
    <t>Blue Ridge Mountain Arts Association</t>
  </si>
  <si>
    <t>420 West Main Street, Blue Ridge, GA 30513</t>
  </si>
  <si>
    <t>Point(-84.327277777 34.864)</t>
  </si>
  <si>
    <t>Bowdon Area Historical Society</t>
  </si>
  <si>
    <t>105 College View Street, Bowdon, GA 30108</t>
  </si>
  <si>
    <t>Point(-85.260585 33.539155)</t>
  </si>
  <si>
    <t>Bulloch County Historical Society</t>
  </si>
  <si>
    <t>315 Savannah Avenue, Statesboro, GA 30458</t>
  </si>
  <si>
    <t>Point(-81.774932 32.445454)</t>
  </si>
  <si>
    <t>Butts County Historical Society</t>
  </si>
  <si>
    <t>Calhoun-Gordon Arts Council</t>
  </si>
  <si>
    <t>212 South Wall Street, Calhoun, GA 30701</t>
  </si>
  <si>
    <t>Point(-84.951055555 34.501611111)</t>
  </si>
  <si>
    <t>Church-Waddel-Brumby House</t>
  </si>
  <si>
    <t>280 E. Dougherty Street, Athens, GA 30061</t>
  </si>
  <si>
    <t>Point(-83.374618 33.962312)</t>
  </si>
  <si>
    <t>Coastal Heritage Society, Inc.</t>
  </si>
  <si>
    <t>303 Martin Luther King Jr. Boulevard, Savannah, GA 31401</t>
  </si>
  <si>
    <t>Point(-81.099719 32.076193)</t>
  </si>
  <si>
    <t>William Root House Museum &amp; Garden</t>
  </si>
  <si>
    <t>Point(-84.552055555 33.955055555)</t>
  </si>
  <si>
    <t>Collectible and Antique Chair Gallery</t>
  </si>
  <si>
    <t>994 Main Street, Stone Mountain, GA 30083</t>
  </si>
  <si>
    <t>Point(-84.170989 33.809)</t>
  </si>
  <si>
    <t>Crawford W. Long Museum</t>
  </si>
  <si>
    <t>28 College Street, Jefferson, GA 30549</t>
  </si>
  <si>
    <t>Point(-83.572916666 34.118138888)</t>
  </si>
  <si>
    <t>Currahee Military Museum</t>
  </si>
  <si>
    <t>47 North Alexander Street, Toccoa, GA 30577</t>
  </si>
  <si>
    <t>Point(-83.33225 34.578444444)</t>
  </si>
  <si>
    <t>Dekalb History Center</t>
  </si>
  <si>
    <t>101 East Court Square, Decatur, GA 30030</t>
  </si>
  <si>
    <t>Point(-84.296515 33.775157)</t>
  </si>
  <si>
    <t>Douglas County Museum of History &amp; Art</t>
  </si>
  <si>
    <t>12431 Veterans Memorial Highway, Douglasville, GA 30134</t>
  </si>
  <si>
    <t>Point(-84.750356 33.750166)</t>
  </si>
  <si>
    <t>Elachee Nature Science Center</t>
  </si>
  <si>
    <t>2125 Elachee Drive, Gainesville, GA 30504</t>
  </si>
  <si>
    <t>Point(-83.831972222 34.246083333)</t>
  </si>
  <si>
    <t>Elberton Granite Museum and Exhibit</t>
  </si>
  <si>
    <t>1 Granite Plaza, Elberton, GA 30635</t>
  </si>
  <si>
    <t>Point(-82.8725 34.116333333)</t>
  </si>
  <si>
    <t>Moreland Hometown Heritage Museum</t>
  </si>
  <si>
    <t>7 Main Street, Moreland, GA 30259</t>
  </si>
  <si>
    <t>Point(-84.769954 33.285836)</t>
  </si>
  <si>
    <t>Euharlee History Museum</t>
  </si>
  <si>
    <t>33 Covered Bridge Road, Euharlee, GA 30145</t>
  </si>
  <si>
    <t>Point(-84.935 34.1492)</t>
  </si>
  <si>
    <t>Fort Valley Downtown Development Authority/Main Street</t>
  </si>
  <si>
    <t>Foxfire Museum and Heritage Center</t>
  </si>
  <si>
    <t>98 Foxfire Lane, Mountain City, GA 30562</t>
  </si>
  <si>
    <t>Point(-83.396194444 34.911194444)</t>
  </si>
  <si>
    <t>Friends of Scull Shoals, Inc.</t>
  </si>
  <si>
    <t>1140 Bouldercrest Circle, Watkinsville, GA 30677</t>
  </si>
  <si>
    <t>Point(-83.44094 33.879)</t>
  </si>
  <si>
    <t>William P. Wall Museum of Natural History</t>
  </si>
  <si>
    <t>231 West Hancock Street, Milledgeville, GA 31061</t>
  </si>
  <si>
    <t>Point(-83.229083333 33.083194444)</t>
  </si>
  <si>
    <t>Georgia College Museum of Fine Arts</t>
  </si>
  <si>
    <t>102 South Columbia Street, Blackbridge Hall, Milledgeville, GA 31061</t>
  </si>
  <si>
    <t>Point(-83.233472222 33.079666666)</t>
  </si>
  <si>
    <t>Georgia Southern University Museum</t>
  </si>
  <si>
    <t>2142 Southern Drive, Rosenwald Building, Statesboro, GA 30458</t>
  </si>
  <si>
    <t>Point(-81.78175 32.427194444)</t>
  </si>
  <si>
    <t>Hay House</t>
  </si>
  <si>
    <t>934 Georgia Avenue, Macon, GA 31201</t>
  </si>
  <si>
    <t>Point(-83.633475 32.840268)</t>
  </si>
  <si>
    <t>Georgia's Old Capital Museum at The Depot</t>
  </si>
  <si>
    <t>95 Depot Circle, Milledgeville, GA 31062</t>
  </si>
  <si>
    <t>Point(-83.224777777 33.051166666)</t>
  </si>
  <si>
    <t>Gilmer County Historical Society</t>
  </si>
  <si>
    <t>138 Spring Street, Ellijay, GA 30540</t>
  </si>
  <si>
    <t>Point(-84.484906 34.695195)</t>
  </si>
  <si>
    <t>Hazlehurst-Jeff Davis Historical Museum Society</t>
  </si>
  <si>
    <t>61 East Coffee Street, Hazlehurst, GA 31539</t>
  </si>
  <si>
    <t>Point(-82.596277777 31.867805555)</t>
  </si>
  <si>
    <t>Hickory Hill</t>
  </si>
  <si>
    <t>502 Hickory Hill Drive, Thomson, GA 30824</t>
  </si>
  <si>
    <t>Point(-82.512789 33.469663)</t>
  </si>
  <si>
    <t>Historic Banning Mills</t>
  </si>
  <si>
    <t>205 Horseshoe Dam Road, Whitesburg, GA 30185</t>
  </si>
  <si>
    <t>Point(-84.92196 33.531661)</t>
  </si>
  <si>
    <t>Historic Columbus Foundation</t>
  </si>
  <si>
    <t>1440 Second Avenue, Columbus, GA 31901</t>
  </si>
  <si>
    <t>Point(-84.989875 32.473967)</t>
  </si>
  <si>
    <t>Jack Hadley Black History Museum</t>
  </si>
  <si>
    <t>214 Alexander St, Thomasville, GA 31792</t>
  </si>
  <si>
    <t>Point(-83.995089 30.839219)</t>
  </si>
  <si>
    <t>Towns Bluff Park &amp; Heritage Center</t>
  </si>
  <si>
    <t>45 Riverwood Trail, Hazlehurst, GA 31539</t>
  </si>
  <si>
    <t>Point(-82.506994 31.94985)</t>
  </si>
  <si>
    <t>Museum of History and Holocaust Education</t>
  </si>
  <si>
    <t>3333 Busbee Drive, Kennesaw, GA 30144</t>
  </si>
  <si>
    <t>Point(-84.574191 34.030865)</t>
  </si>
  <si>
    <t>LaGrange Woman's Club Bellevue</t>
  </si>
  <si>
    <t>Point(-85.039543 33.041776)</t>
  </si>
  <si>
    <t>Laurens County Historical Society</t>
  </si>
  <si>
    <t>311 Academy Avenue, Dublin, GA 31021</t>
  </si>
  <si>
    <t>Point(-82.908292 32.538626)</t>
  </si>
  <si>
    <t>Marietta Fire Museum</t>
  </si>
  <si>
    <t>112 Haynes Street, Marietta, GA 30060</t>
  </si>
  <si>
    <t>Point(-84.546597 33.954185)</t>
  </si>
  <si>
    <t>Marietta History Center</t>
  </si>
  <si>
    <t>1 Depot Street, Marietta, GA 30060</t>
  </si>
  <si>
    <t>Point(-84.55086 33.95261)</t>
  </si>
  <si>
    <t>Monroe County Historical Society</t>
  </si>
  <si>
    <t>126 East Johnston Street, Forsyth, GA 31029</t>
  </si>
  <si>
    <t>Point(-83.934299 33.035319)</t>
  </si>
  <si>
    <t>Museum of Colquitt County History</t>
  </si>
  <si>
    <t>500 4th Avenue SE, Moultrie, GA 31768</t>
  </si>
  <si>
    <t>Point(-83.782694444 31.1755)</t>
  </si>
  <si>
    <t>Newnan-Coweta Historical Society</t>
  </si>
  <si>
    <t>Point(-84.800425 33.380717)</t>
  </si>
  <si>
    <t>Northeast Georgia History Center at Brenau University</t>
  </si>
  <si>
    <t>322 Academy Street NE, Gainesville, GA 30501</t>
  </si>
  <si>
    <t>Point(-83.824878 34.302458)</t>
  </si>
  <si>
    <t>Oglethorpe University Museum of Art</t>
  </si>
  <si>
    <t>4484 Peachtree Road, Atlanta, GA 30319</t>
  </si>
  <si>
    <t>Point(-84.333697 33.875401)</t>
  </si>
  <si>
    <t>Folkston Railroad Transportation Museum</t>
  </si>
  <si>
    <t>3795 Main Street, Folkston, GA 31537</t>
  </si>
  <si>
    <t>Point(-82.008645 30.831604)</t>
  </si>
  <si>
    <t>Polk County Historical Society Museum</t>
  </si>
  <si>
    <t>117 West Avenue, Cedartown, GA 30125</t>
  </si>
  <si>
    <t>Point(-85.25577 34.010969)</t>
  </si>
  <si>
    <t>Ralph Mark Gilbert Civil Rights Museum</t>
  </si>
  <si>
    <t>460 Martin Luther King Jr. Boulevard, Savannah, GA 31401</t>
  </si>
  <si>
    <t>Point(-81.100064 32.072098)</t>
  </si>
  <si>
    <t>Rock Hawk Effigy &amp; Trails</t>
  </si>
  <si>
    <t>125 Wallace Dam Road, Eatonton, GA 31024</t>
  </si>
  <si>
    <t>Point(-83.175173 33.344986)</t>
  </si>
  <si>
    <t>Rome Area History Museum</t>
  </si>
  <si>
    <t>305 Broad Street, Rome, GA 30161</t>
  </si>
  <si>
    <t>Point(-85.172894 34.254018)</t>
  </si>
  <si>
    <t>St. Marys Submarine Museum</t>
  </si>
  <si>
    <t>102 Saint Marys Street West, St. Marys, GA 31558</t>
  </si>
  <si>
    <t>Point(-81.549209 30.720671)</t>
  </si>
  <si>
    <t>Salvation Army Southern Historical Center</t>
  </si>
  <si>
    <t>1032 Metropolitan Parkway SW, Atlanta, GA 30310</t>
  </si>
  <si>
    <t>Point(-84.406277 33.727109)</t>
  </si>
  <si>
    <t>Asa H. Gordon Library</t>
  </si>
  <si>
    <t>2200 Tompkins Road, Savannah, GA 31404</t>
  </si>
  <si>
    <t>Point(-81.063408 32.024797)</t>
  </si>
  <si>
    <t>Senoia Area Historical Society</t>
  </si>
  <si>
    <t>Point(-84.55581 33.305486)</t>
  </si>
  <si>
    <t>Shields Ethridge Heritage Farm</t>
  </si>
  <si>
    <t>Point(-83.588074 34.063006)</t>
  </si>
  <si>
    <t>Ships of the Sea Maritime Museum</t>
  </si>
  <si>
    <t>41 Martin Luther King Jr Boulevard, Savannah, GA 31401</t>
  </si>
  <si>
    <t>Point(-81.09727 32.081173)</t>
  </si>
  <si>
    <t>Shorter University Museum &amp; Archives</t>
  </si>
  <si>
    <t>Point(-85.195919 34.25903)</t>
  </si>
  <si>
    <t>Smith-Gilbert Gardens</t>
  </si>
  <si>
    <t>2382 Pine Mountain Road, Kennesaw, GA 30152</t>
  </si>
  <si>
    <t>Point(-84.629927 34.009477)</t>
  </si>
  <si>
    <t>Smyrna Historical Society and Museum</t>
  </si>
  <si>
    <t>2861 Atlanta Road, Smyrna, GA 30080</t>
  </si>
  <si>
    <t>Point(-84.513944 33.883487)</t>
  </si>
  <si>
    <t>Southeastern Museums Conference (SEMC)</t>
  </si>
  <si>
    <t>Steffen Thomas Museum and Archives</t>
  </si>
  <si>
    <t>4200 Bethany Road, Buckhead, GA 30625</t>
  </si>
  <si>
    <t>Point(-83.398156 33.527334)</t>
  </si>
  <si>
    <t>Old School History Museum</t>
  </si>
  <si>
    <t>305 North Madison Avenue, Eatonton, GA 31024</t>
  </si>
  <si>
    <t>Point(-83.392651 33.3288)</t>
  </si>
  <si>
    <t>Thomasville History Center</t>
  </si>
  <si>
    <t>725 North Dawson Street, Thomasville, GA 31792</t>
  </si>
  <si>
    <t>Point(-83.98444 30.846134)</t>
  </si>
  <si>
    <t>Syd Blackmarr Arts Center</t>
  </si>
  <si>
    <t>255 Love Avenue, Tifton, GA 31794</t>
  </si>
  <si>
    <t>Point(-83.508437 31.455565)</t>
  </si>
  <si>
    <t>Tifton Terminal Train Museum</t>
  </si>
  <si>
    <t>120 Tift Avenue South, Tifton, GA 31794</t>
  </si>
  <si>
    <t>Point(-83.50837 31.452708)</t>
  </si>
  <si>
    <t>Troup County Historical Society Archives</t>
  </si>
  <si>
    <t>Point(-85.031492 33.037503)</t>
  </si>
  <si>
    <t>Uncle Remus Museum</t>
  </si>
  <si>
    <t>214 South Oak Street, Eatonton, GA 31024</t>
  </si>
  <si>
    <t>Point(-83.388559 33.321459)</t>
  </si>
  <si>
    <t>Tunnel Hill Heritage Center &amp; Museum</t>
  </si>
  <si>
    <t>215 Clisby Austin Road, Tunnel Hill, GA 30755</t>
  </si>
  <si>
    <t>Point(-85.041544 34.839922)</t>
  </si>
  <si>
    <t>Historic Westville</t>
  </si>
  <si>
    <t>3557 South Lumpkin Road, Columbus, GA 31903</t>
  </si>
  <si>
    <t>Point(-84.957798 32.381749)</t>
  </si>
  <si>
    <t>Whitfield-Murray Historical Society</t>
  </si>
  <si>
    <t>715 Chattanooga Avenue, Dalton, GA 30720</t>
  </si>
  <si>
    <t>Point(-84.973486 34.782236)</t>
  </si>
  <si>
    <t>Owens-Thomas House &amp; Slave Quarters</t>
  </si>
  <si>
    <t>124 Abercorn Street, Savannah, GA 31401</t>
  </si>
  <si>
    <t>Point(-81.089231 32.077366)</t>
  </si>
  <si>
    <t>Stuart A. Rose Manuscript, Archives, and Rare Book Library</t>
  </si>
  <si>
    <t>Point(-84.322772 33.7904)</t>
  </si>
  <si>
    <t>Rhodes Hall</t>
  </si>
  <si>
    <t>Point(-84.388229 33.795988)</t>
  </si>
  <si>
    <t>Richard B. Russell Library for Political Research and Studies</t>
  </si>
  <si>
    <t>300 South Hull Street, Athens, Georgia 30602</t>
  </si>
  <si>
    <t>Point(-83.3775 33.955)</t>
  </si>
  <si>
    <t>900 Broadway, Columbus, GA 31901</t>
  </si>
  <si>
    <t>Robert C. Williams Paper Museum</t>
  </si>
  <si>
    <t>500 Tenth Street NW, Atlanta, GA 30332</t>
  </si>
  <si>
    <t>Point(-84.404576 33.780979)</t>
  </si>
  <si>
    <t>Robert Toombs House State Historic Site</t>
  </si>
  <si>
    <t>216 East Robert Toombs Avenue, Washington, GA 30673</t>
  </si>
  <si>
    <t>Point(-82.734434 33.736082)</t>
  </si>
  <si>
    <t>Robert W. Woodruff Library, Atlanta University Center</t>
  </si>
  <si>
    <t>111 James P. Brawley Drive SW, Atlanta, GA 30314</t>
  </si>
  <si>
    <t>Point(-84.4133 33.7514)</t>
  </si>
  <si>
    <t>Woodruff Health Sciences Center Library</t>
  </si>
  <si>
    <t>1462 Clifton Road, Atlanta, GA 30322</t>
  </si>
  <si>
    <t>Point(-84.322366 33.796152)</t>
  </si>
  <si>
    <t>Roswell Historical Society</t>
  </si>
  <si>
    <t>Point(-84.357987 34.02351)</t>
  </si>
  <si>
    <t>Georgia State Railroad Museum</t>
  </si>
  <si>
    <t>655 Louisville Road, Savannah, GA 31401</t>
  </si>
  <si>
    <t>Point(-81.1015 32.0755)</t>
  </si>
  <si>
    <t>Central of Georgia Depot and Trainshed</t>
  </si>
  <si>
    <t>Point(-81.099166666 32.076111111)</t>
  </si>
  <si>
    <t>Smyrna Public Library</t>
  </si>
  <si>
    <t>100 Village Green Circle, Smyrna, GA 30080</t>
  </si>
  <si>
    <t>Point(-84.5173 33.8855)</t>
  </si>
  <si>
    <t>Sorrel Weed House</t>
  </si>
  <si>
    <t>6 West Harris Street, Savannah, GA 31401</t>
  </si>
  <si>
    <t>Point(-81.094038 32.074126)</t>
  </si>
  <si>
    <t>Southeastern Railway Museum</t>
  </si>
  <si>
    <t>3595 Buford Highway, Duluth, GA 30096</t>
  </si>
  <si>
    <t>Point(-84.155498 33.988601)</t>
  </si>
  <si>
    <t>South Arts</t>
  </si>
  <si>
    <t>1800 Peachtree Street NW Suite 808, Atlanta, GA 30309</t>
  </si>
  <si>
    <t>Point(-84.394124 33.803617)</t>
  </si>
  <si>
    <t>Southern Historical Association</t>
  </si>
  <si>
    <t>Point(-83.373436 33.953413)</t>
  </si>
  <si>
    <t>Southern Jewish Historical Society</t>
  </si>
  <si>
    <t>PO Box 71601, Marietta, GA 30007-1601</t>
  </si>
  <si>
    <t>Southern Museum of Civil War and Locomotive History</t>
  </si>
  <si>
    <t>2829 Cherokee Street NW, Kennesaw, GA 30144</t>
  </si>
  <si>
    <t>Point(-84.614179 34.02422)</t>
  </si>
  <si>
    <t>Spelman College Museum of Fine Art</t>
  </si>
  <si>
    <t>440 Westview Drive Southwest, Atlanta, Georgia, 30310</t>
  </si>
  <si>
    <t>Point(-84.4114 33.745)</t>
  </si>
  <si>
    <t>Atlanta Housing Archives</t>
  </si>
  <si>
    <t>230 John Wesley Dobbs Avenue Atlanta, GA 30303</t>
  </si>
  <si>
    <t>Point(-84.379907 33.757882)</t>
  </si>
  <si>
    <t>Stately Oaks</t>
  </si>
  <si>
    <t>100 Carriage Lane, Jonesboro, GA 30236</t>
  </si>
  <si>
    <t>Point(-84.350383 33.515369)</t>
  </si>
  <si>
    <t>Stephen C. Foster State Park</t>
  </si>
  <si>
    <t>17515 Highway 177, Fargo, GA 31631</t>
  </si>
  <si>
    <t>Point(-82.36444 30.823106)</t>
  </si>
  <si>
    <t>Patch Works Art &amp; History Center</t>
  </si>
  <si>
    <t>593 Gaskill Street SE, Atlanta, GA, 30316</t>
  </si>
  <si>
    <t>Point(-84.367941 33.748124)</t>
  </si>
  <si>
    <t>Sweetwater Creek State Park</t>
  </si>
  <si>
    <t>1750 Mount Vernon Road, Lithia Springs, GA 30122</t>
  </si>
  <si>
    <t>Point(-84.639 33.753783)</t>
  </si>
  <si>
    <t>T. R. R. Cobb House</t>
  </si>
  <si>
    <t>175 Hill Street, Athens, GA 30601</t>
  </si>
  <si>
    <t>Point(-83.385199 33.960225)</t>
  </si>
  <si>
    <t>Tallulah Gorge State Park</t>
  </si>
  <si>
    <t>338 Jane Hurt Yarn Drive, Tallulah Falls, GA 30573</t>
  </si>
  <si>
    <t>Point(-83.395233 34.73975)</t>
  </si>
  <si>
    <t>Teaching Museum North</t>
  </si>
  <si>
    <t>793 Mimosa Boulevard, Roswell, GA 30075</t>
  </si>
  <si>
    <t>Point(-84.363426 34.020185)</t>
  </si>
  <si>
    <t>Telfair Academy of Arts and Sciences</t>
  </si>
  <si>
    <t>121 Barnard Street, Savannah, Georgia 31401</t>
  </si>
  <si>
    <t>Point(-81.095278 32.078889)</t>
  </si>
  <si>
    <t>Tellus Science Museum</t>
  </si>
  <si>
    <t>100 Tellus Drive, Cartersville, GA 30120</t>
  </si>
  <si>
    <t>Point(-84.77084 34.24216)</t>
  </si>
  <si>
    <t>Fairmount City Library</t>
  </si>
  <si>
    <t>150 North Avenue, Fairmount, GA 30139</t>
  </si>
  <si>
    <t>Point(-84.702078 34.435823)</t>
  </si>
  <si>
    <t>Newnan Carnegie</t>
  </si>
  <si>
    <t>1 LaGrange Street, Newnan, GA 30263</t>
  </si>
  <si>
    <t>Point(-84.800827026 33.374282836)</t>
  </si>
  <si>
    <t>Milton E Long Library</t>
  </si>
  <si>
    <t>6529 Eckel Avenue, BLDG 2783, Fort Benning Army Base, Georgia, 31905, United States</t>
  </si>
  <si>
    <t>Point(-84.9748328 32.3498459)</t>
  </si>
  <si>
    <t>Madison County Library</t>
  </si>
  <si>
    <t>1315 Highway 98 West, Danielsville, GA 30633</t>
  </si>
  <si>
    <t>Point(-83.235628 34.141642)</t>
  </si>
  <si>
    <t>Oconee County Library</t>
  </si>
  <si>
    <t>1080 Experiment Station Road, Watkinsville, GA 30677</t>
  </si>
  <si>
    <t>Point(-83.413367 33.866921)</t>
  </si>
  <si>
    <t>Oglethorpe County Library</t>
  </si>
  <si>
    <t>858 Athens Road, Lexington, GA 30648</t>
  </si>
  <si>
    <t>Point(-83.131988 33.888972)</t>
  </si>
  <si>
    <t>Atlanta Central Library &amp; Library System Headquarters</t>
  </si>
  <si>
    <t>One Margaret Mitchell Square, Atlanta, GA 30303</t>
  </si>
  <si>
    <t>Point(-84.388414 33.75778)</t>
  </si>
  <si>
    <t>Martin Luther King Jr. Branch</t>
  </si>
  <si>
    <t>409 John Wesley Dobbs Avenue, Atlanta, GA 30312</t>
  </si>
  <si>
    <t>Point(-84.374074306 33.758648145)</t>
  </si>
  <si>
    <t>Metropolitan Library</t>
  </si>
  <si>
    <t>1332 Metropolitan Parkway, Atlanta, GA 30310</t>
  </si>
  <si>
    <t>Point(-84.407334 33.718823)</t>
  </si>
  <si>
    <t>Milton Branch</t>
  </si>
  <si>
    <t>855 Mayfield Road, Milton, GA 30009</t>
  </si>
  <si>
    <t>Point(-84.336647 34.090485)</t>
  </si>
  <si>
    <t>Atlanta Fulton Public Library-Northside Branch</t>
  </si>
  <si>
    <t>3295 Northside Parkway NW, Atlanta, GA 30327</t>
  </si>
  <si>
    <t>Point(-84.425415039 33.845123291)</t>
  </si>
  <si>
    <t>Louise Watley Library at Southeast Atlanta</t>
  </si>
  <si>
    <t>1463 Pryor Road, Atlanta, GA 30315</t>
  </si>
  <si>
    <t>Point(-84.394085 33.714953)</t>
  </si>
  <si>
    <t>Augusta-Richmond County Public Library</t>
  </si>
  <si>
    <t>Point(-81.968551635 33.473258972)</t>
  </si>
  <si>
    <t>Jeff Maxwell Branch Library</t>
  </si>
  <si>
    <t>1927 Lumpkin Road, Augusta, GA 30906</t>
  </si>
  <si>
    <t>Point(-82.013214111 33.417850494)</t>
  </si>
  <si>
    <t>Cartersville Main Street Library</t>
  </si>
  <si>
    <t>Point(-84.805536 34.163809)</t>
  </si>
  <si>
    <t>Columbus Public Library</t>
  </si>
  <si>
    <t>Point(-84.944044 32.476932)</t>
  </si>
  <si>
    <t>Parks Memorial Public Library</t>
  </si>
  <si>
    <t>112 Wall Street, Richland, GA 31825</t>
  </si>
  <si>
    <t>Point(-84.667168 32.085152)</t>
  </si>
  <si>
    <t>Rossville Public Library</t>
  </si>
  <si>
    <t>504 McFarland Avenue, Rossville, GA 30741</t>
  </si>
  <si>
    <t>Point(-85.28947 34.979103)</t>
  </si>
  <si>
    <t>Riverdale Library</t>
  </si>
  <si>
    <t>420 Valley Hill Road SW, Riverdale, GA 30274</t>
  </si>
  <si>
    <t>Point(-84.403935 33.568972)</t>
  </si>
  <si>
    <t>North Cobb Regional Library</t>
  </si>
  <si>
    <t>3535 Old 41 Highway, Kennesaw, GA 30144</t>
  </si>
  <si>
    <t>Point(-84.651754 34.03875)</t>
  </si>
  <si>
    <t>Sewell Mill Library &amp; Cultural Center</t>
  </si>
  <si>
    <t>Point(-84.492937 33.950171)</t>
  </si>
  <si>
    <t>County Line-Ellenwood Library</t>
  </si>
  <si>
    <t>4331 River Road, Ellenwood, GA 30294</t>
  </si>
  <si>
    <t>Point(-84.234718322 33.654907226)</t>
  </si>
  <si>
    <t>Windy Hill Library</t>
  </si>
  <si>
    <t>1885 Roswell Street, Smyrna, GA 30080</t>
  </si>
  <si>
    <t>Point(-84.500748 33.894531)</t>
  </si>
  <si>
    <t>Stratton Library</t>
  </si>
  <si>
    <t>1100 Powder Springs Road SW, Marietta, GA 30064</t>
  </si>
  <si>
    <t>Point(-84.584942 33.917598)</t>
  </si>
  <si>
    <t>Vinings Library</t>
  </si>
  <si>
    <t>4290 Paces Ferry Road, Atlanta, GA 30339</t>
  </si>
  <si>
    <t>Point(-84.465381 33.864312)</t>
  </si>
  <si>
    <t>Hancock Branch Library</t>
  </si>
  <si>
    <t>127 E Hancock Street, Suite C, Milledgeville, GA 31061</t>
  </si>
  <si>
    <t>Point(-83.225934 33.081308)</t>
  </si>
  <si>
    <t>300 Pine Avenue, Albany, GA 31701</t>
  </si>
  <si>
    <t>Point(-84.153971 31.578212)</t>
  </si>
  <si>
    <t>Northwest Library</t>
  </si>
  <si>
    <t>2507 Dawson Road, Albany, GA 31707</t>
  </si>
  <si>
    <t>Point(-84.211004 31.611368)</t>
  </si>
  <si>
    <t>Southside Library</t>
  </si>
  <si>
    <t>2114 Habersham Road, Albany, GA 31701</t>
  </si>
  <si>
    <t>Point(-84.171333333 31.549666666)</t>
  </si>
  <si>
    <t>Bowman Library</t>
  </si>
  <si>
    <t>Point(-83.03247 34.205362)</t>
  </si>
  <si>
    <t>Monroe County Library</t>
  </si>
  <si>
    <t>62 West Main Street, Forsyth, GA 31029</t>
  </si>
  <si>
    <t>Point(-83.94047 33.03411)</t>
  </si>
  <si>
    <t>Burke County Library</t>
  </si>
  <si>
    <t>130 Highway 24 South, Waynesboro, GA 30830</t>
  </si>
  <si>
    <t>Point(-82.000107 33.074774)</t>
  </si>
  <si>
    <t>Collins Hill Branch Library</t>
  </si>
  <si>
    <t>455 Camp Perrin Road, Lawrenceville, GA 30043</t>
  </si>
  <si>
    <t>Point(-84.00226593 34.015541076)</t>
  </si>
  <si>
    <t>Duluth Branch Library</t>
  </si>
  <si>
    <t>3480 Duluth Park Lane, Duluth, GA 30096</t>
  </si>
  <si>
    <t>Point(-84.158752441 34.000816345)</t>
  </si>
  <si>
    <t>Five Forks Branch Library</t>
  </si>
  <si>
    <t>2780 Five Forks Trickum Road, Lawrenceville, GA 30044</t>
  </si>
  <si>
    <t>Point(-84.05505371 33.893360137)</t>
  </si>
  <si>
    <t>Lawrenceville Branch Library</t>
  </si>
  <si>
    <t>1001 Lawrenceville Highway, Lawrenceville, GA 30045</t>
  </si>
  <si>
    <t>Point(-84.01461029 33.94234085)</t>
  </si>
  <si>
    <t>Lilburn Branch Library</t>
  </si>
  <si>
    <t>4817 Church Street, Lilburn, GA 30047</t>
  </si>
  <si>
    <t>Point(-84.13854444 33.892201386)</t>
  </si>
  <si>
    <t>Mountain Park Branch Library</t>
  </si>
  <si>
    <t>1210 Pounds Road SW, Lilburn, GA 30047</t>
  </si>
  <si>
    <t>Point(-84.120276 33.847348)</t>
  </si>
  <si>
    <t>Norcross Branch Library</t>
  </si>
  <si>
    <t>6025 Buford Highway Norcross, GA 30071</t>
  </si>
  <si>
    <t>Point(-84.217948913 33.934490203)</t>
  </si>
  <si>
    <t>Suwanee Branch Library</t>
  </si>
  <si>
    <t>361 Main Street, Suwanee, GA 30024</t>
  </si>
  <si>
    <t>Point(-84.067023 34.057378)</t>
  </si>
  <si>
    <t>Fairview Public Library</t>
  </si>
  <si>
    <t>Point(-84.186684 33.606733)</t>
  </si>
  <si>
    <t>Perry Public Library</t>
  </si>
  <si>
    <t>1201 Washington Street, Perry, GA 31069</t>
  </si>
  <si>
    <t>Point(-83.733674 32.461084)</t>
  </si>
  <si>
    <t>Calhoun County Library</t>
  </si>
  <si>
    <t>227 East Hartford Street, Edison, GA 39846</t>
  </si>
  <si>
    <t>Point(-84.737077 31.558184)</t>
  </si>
  <si>
    <t>Clay County Library</t>
  </si>
  <si>
    <t>208 South Hancock Street, Fort Gaines, GA 39851</t>
  </si>
  <si>
    <t>Point(-85.049744 31.605276)</t>
  </si>
  <si>
    <t>Lake Blackshear Headquarters Library</t>
  </si>
  <si>
    <t>307 East Lamar Street, Americus, GA 31709</t>
  </si>
  <si>
    <t>Point(-84.227198 32.07143)</t>
  </si>
  <si>
    <t>Oakland Library</t>
  </si>
  <si>
    <t>445 Oakland Parkway West, Leesburg, GA 31763</t>
  </si>
  <si>
    <t>Point(-84.257879 31.647837)</t>
  </si>
  <si>
    <t>Smithville Library</t>
  </si>
  <si>
    <t>116 Main Street, Smithville, GA 31787</t>
  </si>
  <si>
    <t>Point(-84.252064 31.90188)</t>
  </si>
  <si>
    <t>Bull Street Library</t>
  </si>
  <si>
    <t>2002 Bull Street, Savannah, GA 31401</t>
  </si>
  <si>
    <t>Point(-81.099722293 32.05790693)</t>
  </si>
  <si>
    <t>Forest City Library</t>
  </si>
  <si>
    <t>1501 Stiles Avenue, Savannah, GA 31415</t>
  </si>
  <si>
    <t>Point(-81.121181 32.0643)</t>
  </si>
  <si>
    <t>Hinesville Library</t>
  </si>
  <si>
    <t>236 West Memorial Drive, Hinesville, GA 31313</t>
  </si>
  <si>
    <t>Point(-81.599207 31.851736)</t>
  </si>
  <si>
    <t>Islands Library</t>
  </si>
  <si>
    <t>50 Johnny Mercer Boulevard, Savannah, GA 31410</t>
  </si>
  <si>
    <t>Point(-81.008393 32.035992)</t>
  </si>
  <si>
    <t>Pooler Library</t>
  </si>
  <si>
    <t>216 South Rogers Street, Pooler, GA 31322</t>
  </si>
  <si>
    <t>Point(-81.248227 32.115081)</t>
  </si>
  <si>
    <t>Port City Library</t>
  </si>
  <si>
    <t>3501 Houlihan Avenue, Savannah, GA 31408</t>
  </si>
  <si>
    <t>Point(-81.141263 32.096957)</t>
  </si>
  <si>
    <t>Rincon Library</t>
  </si>
  <si>
    <t>17th Street &amp; Highway 21, Rincon, GA 31326</t>
  </si>
  <si>
    <t>Point(-81.232215 32.279192)</t>
  </si>
  <si>
    <t>Tybee Library</t>
  </si>
  <si>
    <t>405 Butler Avenue, Tybee Island, GA 31328</t>
  </si>
  <si>
    <t>Point(-80.843344 32.008428)</t>
  </si>
  <si>
    <t>W. W. Law Library</t>
  </si>
  <si>
    <t>909 East Bolton Street, Savannah, GA 31401</t>
  </si>
  <si>
    <t>Point(-81.082227 32.062316)</t>
  </si>
  <si>
    <t>Gordon Public Library</t>
  </si>
  <si>
    <t>284 Milledgeville Highway West, Gordon, GA 31031</t>
  </si>
  <si>
    <t>Point(-83.334758 32.882614)</t>
  </si>
  <si>
    <t>Montezuma Public Library</t>
  </si>
  <si>
    <t>506 North Dooly Street, Montezuma, GA 31063</t>
  </si>
  <si>
    <t>Point(-84.025424 32.308879)</t>
  </si>
  <si>
    <t>Oglethorpe Public Library</t>
  </si>
  <si>
    <t>115 Chatham Street, Oglethorpe, GA 31068</t>
  </si>
  <si>
    <t>Point(-84.061252 32.293027)</t>
  </si>
  <si>
    <t>Washington Memorial Library</t>
  </si>
  <si>
    <t>Point(-83.638443 32.838734)</t>
  </si>
  <si>
    <t>Mountain Regional Library</t>
  </si>
  <si>
    <t>698 Miller Street, Young Harris, GA 30582</t>
  </si>
  <si>
    <t>Point(-83.849194 34.938059)</t>
  </si>
  <si>
    <t>Towns County Public Library</t>
  </si>
  <si>
    <t>99 South Berrong Street, Hiawassee, GA 30546</t>
  </si>
  <si>
    <t>Point(-83.756656 34.946814)</t>
  </si>
  <si>
    <t>Union County Public Library</t>
  </si>
  <si>
    <t>303 Hunt Martin Street, Blairsville, GA 30512</t>
  </si>
  <si>
    <t>Point(-83.962028 34.872337)</t>
  </si>
  <si>
    <t>Jeanette Adams Zeigler Library Newborn</t>
  </si>
  <si>
    <t>Point(-83.694907 33.516135)</t>
  </si>
  <si>
    <t>Johnson County Library</t>
  </si>
  <si>
    <t>2456 West Elm Street, Wrightsville, GA 31096</t>
  </si>
  <si>
    <t>Point(-82.722666 32.729302)</t>
  </si>
  <si>
    <t>Montgomery County Public Library</t>
  </si>
  <si>
    <t>215 Railroad Ave, Mount Vernon, GA 30445</t>
  </si>
  <si>
    <t>Point(-82.595305 32.176336)</t>
  </si>
  <si>
    <t>Thomas Public Library</t>
  </si>
  <si>
    <t>315 Martin Luther King Jr. Drive, Fort Valley, GA 31030</t>
  </si>
  <si>
    <t>Point(-83.883474 32.551131)</t>
  </si>
  <si>
    <t>Auburn Public Library</t>
  </si>
  <si>
    <t>24 5th Street, Auburn, GA 30011</t>
  </si>
  <si>
    <t>Point(-83.826827 34.014492)</t>
  </si>
  <si>
    <t>Commerce Public Library</t>
  </si>
  <si>
    <t>1344 South Broad Street, Commerce, GA 30529</t>
  </si>
  <si>
    <t>Point(-83.452643 34.199692)</t>
  </si>
  <si>
    <t>Jefferson Public Library</t>
  </si>
  <si>
    <t>1000 Washington Street, Jefferson, GA 30549</t>
  </si>
  <si>
    <t>Point(-83.583029 34.128354)</t>
  </si>
  <si>
    <t>Manchester Public Library</t>
  </si>
  <si>
    <t>218 Perry Street, Manchester, GA 31816</t>
  </si>
  <si>
    <t>Point(-84.614768 32.860402)</t>
  </si>
  <si>
    <t>Woodstock Public Library</t>
  </si>
  <si>
    <t>7735 Main Street, Woodstock, GA 30188</t>
  </si>
  <si>
    <t>Point(-84.514351 34.112677)</t>
  </si>
  <si>
    <t>Willis L. Miller Library</t>
  </si>
  <si>
    <t>2906 Julia Drive, Valdosta, GA 31602</t>
  </si>
  <si>
    <t>Point(-83.279595 30.8756)</t>
  </si>
  <si>
    <t>Claxton-Evans County Public Library</t>
  </si>
  <si>
    <t>701 West Main Street, Claxton, GA 30417</t>
  </si>
  <si>
    <t>Point(-81.916357 32.161325)</t>
  </si>
  <si>
    <t>Pembroke-Bryan Public Library</t>
  </si>
  <si>
    <t>1018 Camelia Drive, Pembroke, GA 31321</t>
  </si>
  <si>
    <t>Point(-81.611828 32.146907)</t>
  </si>
  <si>
    <t>Richmond Hill-Bryan County Public Library</t>
  </si>
  <si>
    <t>9607 Ford Avenue, Richmond Hill, GA 31324</t>
  </si>
  <si>
    <t>Point(-81.315079 31.952506)</t>
  </si>
  <si>
    <t>Statesboro-Bulloch County Library</t>
  </si>
  <si>
    <t>124 South Main Street, Statesboro, GA 30458</t>
  </si>
  <si>
    <t>Point(-81.78335 32.445559)</t>
  </si>
  <si>
    <t>Thomas County Public Library</t>
  </si>
  <si>
    <t>201 North Madison Street, Thomasville, GA 31792</t>
  </si>
  <si>
    <t>Point(-83.983108 30.837884)</t>
  </si>
  <si>
    <t>St. Marys Public Library</t>
  </si>
  <si>
    <t>100 Herb Bauer Drive, St. Marys, GA 31558</t>
  </si>
  <si>
    <t>Point(-81.552643 30.741525)</t>
  </si>
  <si>
    <t>Wayne County Library</t>
  </si>
  <si>
    <t>759 Sunset Boulevard, Jesup, GA 31545</t>
  </si>
  <si>
    <t>Point(-81.904362 31.611963)</t>
  </si>
  <si>
    <t>Harris County Public Library</t>
  </si>
  <si>
    <t>7511 Georgia Highway 116, Hamilton, GA 31811</t>
  </si>
  <si>
    <t>Point(-84.900026 32.753898)</t>
  </si>
  <si>
    <t>Greene County Library</t>
  </si>
  <si>
    <t>610 South Main Street, Greensboro, GA 30642</t>
  </si>
  <si>
    <t>Point(-83.183014 33.56877)</t>
  </si>
  <si>
    <t>Morgan County Library</t>
  </si>
  <si>
    <t>1131 East Avenue, Madison, GA 30650</t>
  </si>
  <si>
    <t>Point(-83.452577 33.59539)</t>
  </si>
  <si>
    <t>Buchanan-Haralson County Public Library</t>
  </si>
  <si>
    <t>145 Van Wert Street, Buchanan, GA 30113</t>
  </si>
  <si>
    <t>Point(-85.189577 33.801872)</t>
  </si>
  <si>
    <t>Centralhatchee Public Library</t>
  </si>
  <si>
    <t>171 Notnomis Road, Franklin, GA 30217</t>
  </si>
  <si>
    <t>Point(-85.10861 33.362689)</t>
  </si>
  <si>
    <t>Dallas Public Library</t>
  </si>
  <si>
    <t>1010 East Memorial Drive, Dallas, GA 30132</t>
  </si>
  <si>
    <t>Point(-84.825854 33.932673)</t>
  </si>
  <si>
    <t>Mount Zion Public Library</t>
  </si>
  <si>
    <t>4455 Mount Zion Road, Mount Zion, GA 30150</t>
  </si>
  <si>
    <t>Point(-85.185073 33.634783)</t>
  </si>
  <si>
    <t>Jones County Public Library</t>
  </si>
  <si>
    <t>146 Railroad Avenue, Gray, GA 31032</t>
  </si>
  <si>
    <t>Point(-83.534753 33.006219)</t>
  </si>
  <si>
    <t>Decatur County Historical and Genealogical Society</t>
  </si>
  <si>
    <t>127 East Water Street, Bainbridge, GA 39817</t>
  </si>
  <si>
    <t>Point(-84.575875 30.906679)</t>
  </si>
  <si>
    <t>Heritage Station Museum</t>
  </si>
  <si>
    <t>219 West Ward Street, Douglas, GA 31533</t>
  </si>
  <si>
    <t>Point(-82.852508 31.509265)</t>
  </si>
  <si>
    <t>Lucy Craft Laney Museum of Black History and Conference Center</t>
  </si>
  <si>
    <t>1116 Phillips Street, Augusta, GA 30901</t>
  </si>
  <si>
    <t>Point(-81.981261 33.467112)</t>
  </si>
  <si>
    <t>Marsh House of LaFayette</t>
  </si>
  <si>
    <t>308 North Main Street, LaFayette, GA 30728</t>
  </si>
  <si>
    <t>Point(-85.281024 34.70935)</t>
  </si>
  <si>
    <t>ArtsGeorgia Inc.</t>
  </si>
  <si>
    <t>Brenau University Galleries</t>
  </si>
  <si>
    <t>500 Washington Street SE, Gainesville, GA 30501</t>
  </si>
  <si>
    <t>Point(-83.822042 34.301875)</t>
  </si>
  <si>
    <t>Cherokee County Historical Society</t>
  </si>
  <si>
    <t>221 East Marietta Street, Canton, GA 30114</t>
  </si>
  <si>
    <t>Point(-84.490462 34.235595)</t>
  </si>
  <si>
    <t>Sellars Gallery, Simmons Visual Arts Center</t>
  </si>
  <si>
    <t>200 Boulevard, Gainesville, GA 30501</t>
  </si>
  <si>
    <t>Point(-83.821467 34.302836)</t>
  </si>
  <si>
    <t>Presidents Gallery, Simmons Visual Arts Center</t>
  </si>
  <si>
    <t>Point(-83.821463 34.302841)</t>
  </si>
  <si>
    <t>Leo Castelli Gallery, John S. Burd Center for the Performing Arts</t>
  </si>
  <si>
    <t>429 Academy Street, Gainesville, GA 30501</t>
  </si>
  <si>
    <t>Point(-83.824309 34.303649)</t>
  </si>
  <si>
    <t>Manhattan Gallery, Brenau University Downtown Center</t>
  </si>
  <si>
    <t>301 Main St. SW, Gainesville, GA 30501</t>
  </si>
  <si>
    <t>Point(-83.825441 34.297933)</t>
  </si>
  <si>
    <t>Grayson Library</t>
  </si>
  <si>
    <t>700 Grayson Parkway, Grayson, GA 30017</t>
  </si>
  <si>
    <t>Point(-83.963546 33.888584)</t>
  </si>
  <si>
    <t>West End Branch</t>
  </si>
  <si>
    <t>525 Peeples Street SW, Atlanta, GA 30310</t>
  </si>
  <si>
    <t>Point(-84.420855 33.740329)</t>
  </si>
  <si>
    <t>Riverside Branch Library</t>
  </si>
  <si>
    <t>110 Holiday Drive North, Macon, GA 31210</t>
  </si>
  <si>
    <t>Point(-83.686782 32.898314)</t>
  </si>
  <si>
    <t>Walnut Grove Library</t>
  </si>
  <si>
    <t>1000 Walnut Grove Parkway, Loganville, GA 30052</t>
  </si>
  <si>
    <t>Point(-83.852216 33.747414)</t>
  </si>
  <si>
    <t>Carter-Coile County Doctor's Museum</t>
  </si>
  <si>
    <t>111 Marigold Lane, Winterville, GA 30683</t>
  </si>
  <si>
    <t>Point(-83.2804 33.967712)</t>
  </si>
  <si>
    <t>Historic Train Depot</t>
  </si>
  <si>
    <t>60 East Broad Street, Newnan, Georgia 30263</t>
  </si>
  <si>
    <t>Point(-84.796694 33.374506)</t>
  </si>
  <si>
    <t>Marion County Library</t>
  </si>
  <si>
    <t>123 East 5th Avenue, Buena Vista, GA 31803</t>
  </si>
  <si>
    <t>Point(-84.5159698 32.3180986)</t>
  </si>
  <si>
    <t>Columbia County Library</t>
  </si>
  <si>
    <t>7022 Evans Town Center Boulevard, Evans, GA 30809</t>
  </si>
  <si>
    <t>Point(-82.1329797 33.546518)</t>
  </si>
  <si>
    <t>Lincoln County Library</t>
  </si>
  <si>
    <t>181 North Peachtree Street, Lincolnton, GA 30817</t>
  </si>
  <si>
    <t>Point(-82.477833333 33.794361111)</t>
  </si>
  <si>
    <t>Garden City Library</t>
  </si>
  <si>
    <t>104 Sunshine Avenue, Garden City, GA 31405</t>
  </si>
  <si>
    <t>Point(-81.206527777 32.061472222)</t>
  </si>
  <si>
    <t>Tubman Museum</t>
  </si>
  <si>
    <t>310 Cherry Street, Macon, GA 31201</t>
  </si>
  <si>
    <t>Point(-83.625126 32.833618)</t>
  </si>
  <si>
    <t>Twin Lakes Library System</t>
  </si>
  <si>
    <t>151 South Jefferson Street, Milledgeville, GA 31061</t>
  </si>
  <si>
    <t>Point(-83.2214 33.0703)</t>
  </si>
  <si>
    <t>Ty Cobb Museum</t>
  </si>
  <si>
    <t>461 Cook Street, Royston, GA 30662</t>
  </si>
  <si>
    <t>Point(-83.117613 34.283237)</t>
  </si>
  <si>
    <t>Tybee Island Lighthouse and Museum</t>
  </si>
  <si>
    <t>30 Meddin Drive, Tybee Island, GA 31328</t>
  </si>
  <si>
    <t>Point(-80.845638888 32.022222222)</t>
  </si>
  <si>
    <t>U.S. National Tick Collection</t>
  </si>
  <si>
    <t>Point(-81.776698 32.419448)</t>
  </si>
  <si>
    <t>University of Georgia Campus Arboretum</t>
  </si>
  <si>
    <t>Point(-83.372 33.951)</t>
  </si>
  <si>
    <t>Thronateeska Science Museum</t>
  </si>
  <si>
    <t>Thronateeska History Museum</t>
  </si>
  <si>
    <t>Vines Botanical Gardens</t>
  </si>
  <si>
    <t>Point(-83.9223 33.8632)</t>
  </si>
  <si>
    <t>William Breman Jewish Heritage &amp; Holocaust Museum</t>
  </si>
  <si>
    <t>1440 Spring Street NW, Atlanta, GA 30309</t>
  </si>
  <si>
    <t>Point(-84.38981 33.793886)</t>
  </si>
  <si>
    <t>Wormsloe Historic Site</t>
  </si>
  <si>
    <t>7601 Skidaway Road, Savannah, GA 31406</t>
  </si>
  <si>
    <t>Point(-81.0718055 31.9797854)</t>
  </si>
  <si>
    <t>Tybee Island Guard House</t>
  </si>
  <si>
    <t>31 Van Horne Avenue, Tybee Island, GA 31328</t>
  </si>
  <si>
    <t>Point(-80.846388888 32.018166666)</t>
  </si>
  <si>
    <t>Tybee Island Marine Science Center</t>
  </si>
  <si>
    <t>1509 Strand Avenue, Tybee Island, GA 31328</t>
  </si>
  <si>
    <t>Point(-80.846916666 31.992444444)</t>
  </si>
  <si>
    <t>McGowan Library</t>
  </si>
  <si>
    <t>10 Ocean Science Circle, Savannah, GA 31411</t>
  </si>
  <si>
    <t>Point(-81.02275 31.987583333)</t>
  </si>
  <si>
    <t>William H. Ford, Sr. Museum &amp; Visitors Center</t>
  </si>
  <si>
    <t>9520 Ferguson Avenue, Savannah, GA 31401</t>
  </si>
  <si>
    <t>Point(-81.091585 31.959256)</t>
  </si>
  <si>
    <t>Savannah Botanical Gardens</t>
  </si>
  <si>
    <t>1388 Eisenhower Drive, Savannah, GA 31406</t>
  </si>
  <si>
    <t>Point(-81.091319 32.00467)</t>
  </si>
  <si>
    <t>Thunderbolt Museum Society</t>
  </si>
  <si>
    <t>2702 Mechanics Avenue, Thunderbolt, GA 31404</t>
  </si>
  <si>
    <t>Point(-81.053069 32.034226)</t>
  </si>
  <si>
    <t>Jen Library</t>
  </si>
  <si>
    <t>201 East Broughton Street, Savannah, Georgia 31401</t>
  </si>
  <si>
    <t>Point(-81.089477 32.078056)</t>
  </si>
  <si>
    <t>Kennedy Pharmacy</t>
  </si>
  <si>
    <t>323 East Broughton Street, Savannah, GA 31401</t>
  </si>
  <si>
    <t>Point(-81.087822 32.077668)</t>
  </si>
  <si>
    <t>Girl Scout First Headquarters</t>
  </si>
  <si>
    <t>330 Drayton Street, Savannah, GA 31401</t>
  </si>
  <si>
    <t>Point(-81.092791 32.073107)</t>
  </si>
  <si>
    <t>Kiah Hall</t>
  </si>
  <si>
    <t>227 Martin Luther King, Jr. Boulevard, Savannah, GA 31401</t>
  </si>
  <si>
    <t>Point(-81.098623 32.077323)</t>
  </si>
  <si>
    <t>Beach Institute African American Cultural Center</t>
  </si>
  <si>
    <t>502 East Harris Street, Savannah, GA 31401</t>
  </si>
  <si>
    <t>Point(-81.088342 32.072653)</t>
  </si>
  <si>
    <t>Old Water Plant</t>
  </si>
  <si>
    <t>City Lot, 702 Stiles Avenue, Savannah, GA 31402</t>
  </si>
  <si>
    <t>Point(-81.07156 31.971394)</t>
  </si>
  <si>
    <t>Coastal Georgia Botanical Gardens at the Historic Bamboo Farm</t>
  </si>
  <si>
    <t>2 Canebrake Road, Savannah, GA 31419</t>
  </si>
  <si>
    <t>Point(-81.269955 31.997456)</t>
  </si>
  <si>
    <t>Savannah Ogeechee Canal Society</t>
  </si>
  <si>
    <t>681 Fort Argyle Road, Savannah, GA 31419</t>
  </si>
  <si>
    <t>Point(-81.316793 32.023091)</t>
  </si>
  <si>
    <t>The National Society of The Colonial Dames of America in the State of Georgia</t>
  </si>
  <si>
    <t>319 Abercorn Street, Savannah, GA 31401</t>
  </si>
  <si>
    <t>Point(-81.091694444 32.0735)</t>
  </si>
  <si>
    <t>Roman Catholic Diocese of Savannah Archives &amp; Records Management</t>
  </si>
  <si>
    <t>2170 East Victory Drive, Savannah, GA 31404</t>
  </si>
  <si>
    <t>Point(-81.061046 32.04046)</t>
  </si>
  <si>
    <t>Fort McAllister Historic Park</t>
  </si>
  <si>
    <t>3894 Fort McAllister Road, Richmond Hill, GA 31324</t>
  </si>
  <si>
    <t>Point(-81.179005 31.883572)</t>
  </si>
  <si>
    <t>KSU Foreign Language Resource Collection</t>
  </si>
  <si>
    <t>1000 Chastain Rd, Kennesaw, GA 30144</t>
  </si>
  <si>
    <t>Point(-84.582066 34.03552)</t>
  </si>
  <si>
    <t>Alma-Bacon County Historical Center</t>
  </si>
  <si>
    <t>406 Mercer, Alma, GA 31510</t>
  </si>
  <si>
    <t>Point(-82.467752 31.545897)</t>
  </si>
  <si>
    <t>Alpharetta and Old Milton County Historical Society</t>
  </si>
  <si>
    <t>1835 Old Milton Parkway, Alpharetta, GA 30009</t>
  </si>
  <si>
    <t>Point(-84.304843 34.072357)</t>
  </si>
  <si>
    <t>Altama Museum of Art and History</t>
  </si>
  <si>
    <t>611 Jackson Street, Vidalia, GA 30474</t>
  </si>
  <si>
    <t>Point(-82.415448 32.211603)</t>
  </si>
  <si>
    <t>American Cherokee Confederacy</t>
  </si>
  <si>
    <t>619 Pine Cone Road, Albany, GA 31705</t>
  </si>
  <si>
    <t>Point(-84.023373 31.415587)</t>
  </si>
  <si>
    <t>Andersonville Civil War Village</t>
  </si>
  <si>
    <t>109 East Church Street, Andersonville, GA 31711</t>
  </si>
  <si>
    <t>Point(-84.139831 32.194438)</t>
  </si>
  <si>
    <t>Pitts Library Andrew College</t>
  </si>
  <si>
    <t>501 College Street, Cuthbert, GA 39840</t>
  </si>
  <si>
    <t>Point(-84.796315 31.773232)</t>
  </si>
  <si>
    <t>Appling County Heritage Center</t>
  </si>
  <si>
    <t>209 Thomas Street, Baxley, GA 31513</t>
  </si>
  <si>
    <t>Point(-82.350542 31.78107)</t>
  </si>
  <si>
    <t>Archives Research Center Atlanta University Center Robert W. Woodruff Library</t>
  </si>
  <si>
    <t>Point(-84.41357 33.751557)</t>
  </si>
  <si>
    <t>Office of Army Reserve History</t>
  </si>
  <si>
    <t>Ashburn Historic Preservation Commission</t>
  </si>
  <si>
    <t>238 East College Avenue, Ashburn, GA 31714</t>
  </si>
  <si>
    <t>Point(-83.651853 31.707704)</t>
  </si>
  <si>
    <t>Athens Technical College Library</t>
  </si>
  <si>
    <t>800 US Highway 29 North, Athens, GA 30601</t>
  </si>
  <si>
    <t>Point(-83.339048 33.991422)</t>
  </si>
  <si>
    <t>Historic Athens</t>
  </si>
  <si>
    <t>Old Fire Hall No. 2, 489 Prince Avenue, Athens, GA 30601</t>
  </si>
  <si>
    <t>Point(-83.385404 33.960564)</t>
  </si>
  <si>
    <t>Central Library Special Collections</t>
  </si>
  <si>
    <t>Point(-84.388415 33.757781)</t>
  </si>
  <si>
    <t>Atlanta Preservation Center</t>
  </si>
  <si>
    <t>327 Saint Paul Avenue SE, Atlanta, GA 30312</t>
  </si>
  <si>
    <t>Point(-84.376833 33.740683)</t>
  </si>
  <si>
    <t>Augusta Genealogical Society</t>
  </si>
  <si>
    <t>1058 Claussen Road #108, Augusta, GA 30907</t>
  </si>
  <si>
    <t>Point(-82.03837 33.518163)</t>
  </si>
  <si>
    <t>Augusta Richmond County Historical Society</t>
  </si>
  <si>
    <t>Reese Library, Augusta State University, 2500 Walton Way, Augusta, GA 30904</t>
  </si>
  <si>
    <t>Point(-82.022057 33.476441)</t>
  </si>
  <si>
    <t>Augusta-Richmond County Public Library Georgia Heritage Room</t>
  </si>
  <si>
    <t>Point(-81.968549 33.473261)</t>
  </si>
  <si>
    <t>Austell Museum</t>
  </si>
  <si>
    <t>Threadmill Complex, 5000 Austell Powder Springs Road SW, Austell, GA 30106</t>
  </si>
  <si>
    <t>Point(-84.656823 33.832024)</t>
  </si>
  <si>
    <t>Austell Historical Preservation Society</t>
  </si>
  <si>
    <t>Banks County Historical Society</t>
  </si>
  <si>
    <t>Cave Spring Historical Society</t>
  </si>
  <si>
    <t>Center for Public History at the University of West Georgia</t>
  </si>
  <si>
    <t>1601 Maple Street, Carrollton, GA 30118</t>
  </si>
  <si>
    <t>Point(-85.097694 33.573629)</t>
  </si>
  <si>
    <t>Central Georgia Genealogical Society</t>
  </si>
  <si>
    <t>Bartow History Museum Archives and Research Library</t>
  </si>
  <si>
    <t>13 North Wall Street, Cartersville, GA 30120</t>
  </si>
  <si>
    <t>Point(-84.795859 34.167164)</t>
  </si>
  <si>
    <t>Barnesville-Lamar County Historical Society</t>
  </si>
  <si>
    <t>Barrow County Historical Society and Museum</t>
  </si>
  <si>
    <t>74 West Athens Street, Winder, GA 30680</t>
  </si>
  <si>
    <t>Point(-83.722108 33.992817)</t>
  </si>
  <si>
    <t>Bartow County Genealogical Society</t>
  </si>
  <si>
    <t>101 North Erwin Street, Cartersville, GA 30120</t>
  </si>
  <si>
    <t>Point(-84.79735 34.166825)</t>
  </si>
  <si>
    <t>Barth Memorial Library</t>
  </si>
  <si>
    <t>892 Berne Street SE, Atlanta, GA 30316</t>
  </si>
  <si>
    <t>Point(-84.358221 33.737261)</t>
  </si>
  <si>
    <t>Carroll County Genealogical Society</t>
  </si>
  <si>
    <t>Point(-85.075057 33.585317)</t>
  </si>
  <si>
    <t>Carroll County Historical Society</t>
  </si>
  <si>
    <t>Curtis-Marlow-Perry House, 226 West Avenue, Carrollton, Georgia 30117</t>
  </si>
  <si>
    <t>Point(-85.069199 33.578673)</t>
  </si>
  <si>
    <t>Carson McCullers Center for Writers and Musicians</t>
  </si>
  <si>
    <t>1519 Stark Avenue, Columbus, GA 31906</t>
  </si>
  <si>
    <t>Point(-84.956686 32.475147)</t>
  </si>
  <si>
    <t>Catholic Archdiocese of Atlanta Office of Archives and Records</t>
  </si>
  <si>
    <t>2401 Lake Park Drive SE, Smyrna, GA 30080</t>
  </si>
  <si>
    <t>Point(-84.482141 33.895354)</t>
  </si>
  <si>
    <t>Brooks County Genealogical Society</t>
  </si>
  <si>
    <t>Bryan-Lang Historical Archives</t>
  </si>
  <si>
    <t>311 Camden Avenue, Woodbine, GA 31569</t>
  </si>
  <si>
    <t>Point(-81.722014 30.968245)</t>
  </si>
  <si>
    <t>Byron Area Historical Society</t>
  </si>
  <si>
    <t>108 Jailhouse Alley, Byron, GA 31008</t>
  </si>
  <si>
    <t>Point(-83.759715 32.652338)</t>
  </si>
  <si>
    <t>Brantley Historical Society</t>
  </si>
  <si>
    <t>Brasstown Bald Visitor Information Center</t>
  </si>
  <si>
    <t>2941 Georgia-180 Spur, Hiawassee, GA 30546</t>
  </si>
  <si>
    <t>Point(-83.810921 34.874378)</t>
  </si>
  <si>
    <t>Chattahoochee Valley Libraries Genealogy and Local History Department</t>
  </si>
  <si>
    <t>Point(-84.943951 32.476922)</t>
  </si>
  <si>
    <t>Chattooga County Historical Society</t>
  </si>
  <si>
    <t>Chattooga County Library Georgia Room</t>
  </si>
  <si>
    <t>Point(-85.331965 34.490682)</t>
  </si>
  <si>
    <t>Chief Vann House State Historic Site</t>
  </si>
  <si>
    <t>82 Highway 225 North, Chatsworth, GA 30705</t>
  </si>
  <si>
    <t>Point(-84.821988 34.763134)</t>
  </si>
  <si>
    <t>Chipley Historical Center of Pine Mountain</t>
  </si>
  <si>
    <t>146 North McDougald Avenue, Pine Mountain, GA 31822</t>
  </si>
  <si>
    <t>Point(-84.853877 32.866494)</t>
  </si>
  <si>
    <t>Airport Art, Atlanta</t>
  </si>
  <si>
    <t>6000 North Terminal Parkway, Suite 4000, Atlanta, GA 30320</t>
  </si>
  <si>
    <t>Point(-84.439248 33.640101)</t>
  </si>
  <si>
    <t>City of Savannah Research Library &amp; Municipal Archives</t>
  </si>
  <si>
    <t>City Hall, Room 103, 2 East Bay Street, Savannah, GA 31402</t>
  </si>
  <si>
    <t>Point(-81.091186 32.081213)</t>
  </si>
  <si>
    <t>Clarke-Oconee Genealogical Society</t>
  </si>
  <si>
    <t>Clayton State University Archives and Special Collections</t>
  </si>
  <si>
    <t>2000 Clayton State Boulevard, Morrow, GA 30260</t>
  </si>
  <si>
    <t>Point(-84.328111 33.594033)</t>
  </si>
  <si>
    <t>Coastal Georgia Archaeological Society</t>
  </si>
  <si>
    <t>1253 Little Neck Road, Savannah, GA 31419</t>
  </si>
  <si>
    <t>Point(-81.281922 32.042139)</t>
  </si>
  <si>
    <t>World World II Home Front Museum</t>
  </si>
  <si>
    <t>4201 First Street, St. Simons Island, GA 31522</t>
  </si>
  <si>
    <t>Point(-81.372988 31.145517)</t>
  </si>
  <si>
    <t>Charlton County Historical Society and Archives</t>
  </si>
  <si>
    <t>20 Cypress St, Folkston, GA 31537</t>
  </si>
  <si>
    <t>Point(-82.004605 30.83327)</t>
  </si>
  <si>
    <t>Cobb County Genealogical Society</t>
  </si>
  <si>
    <t>Cobb County Historic Preservation Commission</t>
  </si>
  <si>
    <t>1150 Powder Springs Street, Suite 400, Marietta, GA 30064</t>
  </si>
  <si>
    <t>Point(-84.574083 33.926204)</t>
  </si>
  <si>
    <t>Cobb County Youth Museum</t>
  </si>
  <si>
    <t>649 Cheatham Hill Drive, Marietta, GA 30061</t>
  </si>
  <si>
    <t>Point(-84.596604 33.940014)</t>
  </si>
  <si>
    <t>Coca-Cola Company Archives</t>
  </si>
  <si>
    <t>1 Coca Cola Plaza NW, Atlanta, GA 30313</t>
  </si>
  <si>
    <t>Point(-84.39722 33.770448)</t>
  </si>
  <si>
    <t>College Park Historical Society</t>
  </si>
  <si>
    <t>3675 Auditorium Way, College Park, GA 30337</t>
  </si>
  <si>
    <t>Point(-84.45072 33.655063)</t>
  </si>
  <si>
    <t>Colquitt County Historical Society</t>
  </si>
  <si>
    <t>204 Fifth Street SE, Moultrie, GA 31768</t>
  </si>
  <si>
    <t>Point(-83.783262 31.177278)</t>
  </si>
  <si>
    <t>Columbia Theological Seminary John Bulow Campbell Library</t>
  </si>
  <si>
    <t>701 South Columbia Drive, Decatur, GA 30030</t>
  </si>
  <si>
    <t>Point(-84.281423 33.764433)</t>
  </si>
  <si>
    <t>Columbus State University Archives</t>
  </si>
  <si>
    <t>Simon Schwob Memorial Library, 4225 University Avenue, Columbus, GA 31907</t>
  </si>
  <si>
    <t>Point(-84.940993 32.500975)</t>
  </si>
  <si>
    <t>Commerce Public Library Heritage Room</t>
  </si>
  <si>
    <t>Point(-83.452678 34.199541)</t>
  </si>
  <si>
    <t>Cook County Historical Society</t>
  </si>
  <si>
    <t>115 East Fourth Street, Adel, GA 31620</t>
  </si>
  <si>
    <t>Point(-83.422799 31.137413)</t>
  </si>
  <si>
    <t>Georgia Northwestern Technical College Catoosa County Campus Library</t>
  </si>
  <si>
    <t>120 College Park Drive, Ringgold, GA 30736</t>
  </si>
  <si>
    <t>Point(-85.134646 34.898716)</t>
  </si>
  <si>
    <t>Coweta County Genealogical Society</t>
  </si>
  <si>
    <t>8 Carmichael Street, Newnan, GA 30263</t>
  </si>
  <si>
    <t>Point(-84.802359 33.380974)</t>
  </si>
  <si>
    <t>Dade County Historical Society</t>
  </si>
  <si>
    <t>Dahlonega Historic Preservation Commission</t>
  </si>
  <si>
    <t>465 Riley Road, Dahlonega, GA 30533</t>
  </si>
  <si>
    <t>Point(-83.974012 34.52849)</t>
  </si>
  <si>
    <t>Dalton State College Roberts Library</t>
  </si>
  <si>
    <t>Point(-85.002719 34.774194)</t>
  </si>
  <si>
    <t>Dawson County Historical and Genealogical Society</t>
  </si>
  <si>
    <t>1 Courthouse Square, Dawsonville, GA 30534</t>
  </si>
  <si>
    <t>Point(-84.118959 34.421264)</t>
  </si>
  <si>
    <t>Dell-Goodall House</t>
  </si>
  <si>
    <t>US Highway 301, State Route 24, Sylvania, GA 30467</t>
  </si>
  <si>
    <t>Point(-81.624709 32.826857)</t>
  </si>
  <si>
    <t>Delta Genealogical Society</t>
  </si>
  <si>
    <t>Point(-85.289474 34.979077)</t>
  </si>
  <si>
    <t>Douglas County Genealogical Society</t>
  </si>
  <si>
    <t>Drummer Boy Civil War Museum</t>
  </si>
  <si>
    <t>109 Church Street, Andersonville, GA 31711</t>
  </si>
  <si>
    <t>Point(-84.139819 32.194428)</t>
  </si>
  <si>
    <t>Duluth Historical Society</t>
  </si>
  <si>
    <t>Eagle Tavern Museum</t>
  </si>
  <si>
    <t>26 North Main Street, Watkinsville, GA 30677</t>
  </si>
  <si>
    <t>Point(-83.409374 33.863936)</t>
  </si>
  <si>
    <t>Early County Historical Society</t>
  </si>
  <si>
    <t>Early County Museum</t>
  </si>
  <si>
    <t>226 North Main Street, Blakely, GA 39823</t>
  </si>
  <si>
    <t>Point(-84.933664 31.381495)</t>
  </si>
  <si>
    <t>Emanuel Arts Council, Inc.</t>
  </si>
  <si>
    <t>303 North Green Street, Swainsboro, GA 30401</t>
  </si>
  <si>
    <t>Point(-82.337016 32.599191)</t>
  </si>
  <si>
    <t>Emanuel County Historic Preservation Society</t>
  </si>
  <si>
    <t>161 Museum Road, Swainsboro, GA 30401</t>
  </si>
  <si>
    <t>Point(-82.339891 32.627635)</t>
  </si>
  <si>
    <t>East Georgia State College Library</t>
  </si>
  <si>
    <t>131 College Circle, Swainsboro, GA 30401</t>
  </si>
  <si>
    <t>Point(-82.309276 32.594916)</t>
  </si>
  <si>
    <t>East Georgia Genealogical Society, Inc.</t>
  </si>
  <si>
    <t>East Point Historical Society Inc.</t>
  </si>
  <si>
    <t>1685 Norman Berry Drive, East Point, GA 30364</t>
  </si>
  <si>
    <t>Point(-84.443497 33.685626)</t>
  </si>
  <si>
    <t>Eatonton-Putnam County Historical Society</t>
  </si>
  <si>
    <t>114 North Madison Avenue, Eatonton, GA 31024</t>
  </si>
  <si>
    <t>Point(-83.390128 33.327121)</t>
  </si>
  <si>
    <t>Elbert County Historical Society</t>
  </si>
  <si>
    <t>3 Deadwyler Street, Elberton, GA 30635</t>
  </si>
  <si>
    <t>Point(-82.866135 34.112432)</t>
  </si>
  <si>
    <t>Eleventh Circuit Historical Society</t>
  </si>
  <si>
    <t>56 Forsyth St NW, Atlanta, GA 30303</t>
  </si>
  <si>
    <t>Point(-84.3903312 33.7563509)</t>
  </si>
  <si>
    <t>Elijah Clark State Park Log Cabin Museum</t>
  </si>
  <si>
    <t>2959 McCormick Highway, Lincolnton, GA 30817</t>
  </si>
  <si>
    <t>Point(-82.403688 33.853568)</t>
  </si>
  <si>
    <t>Ellen Payne Odom Genealogy Library</t>
  </si>
  <si>
    <t>Etowah Valley Historical Society</t>
  </si>
  <si>
    <t>115 West Cherokee Avenue, Cartersville, GA 30120</t>
  </si>
  <si>
    <t>Point(-84.79784 34.16586)</t>
  </si>
  <si>
    <t>Webb Military Museum</t>
  </si>
  <si>
    <t>411 East York Street, Savannah, GA 31412</t>
  </si>
  <si>
    <t>Point(-81.087598 32.076281)</t>
  </si>
  <si>
    <t>Fayette County Historical Society</t>
  </si>
  <si>
    <t>195 Lee Street, Fayetteville, GA 30214</t>
  </si>
  <si>
    <t>Point(-84.454298 33.446662)</t>
  </si>
  <si>
    <t>First Families of Georgia 1733-1797</t>
  </si>
  <si>
    <t>1604 Executive Park Lane NE, Atlanta, GA 30329</t>
  </si>
  <si>
    <t>Point(-84.327026 33.829178)</t>
  </si>
  <si>
    <t>U.S. Army Fort Benning Maneuver Center of Excellence</t>
  </si>
  <si>
    <t>MCoE HQ Donovan Research Library, 7533 Holtz Street, Building 70, Suite 1025, Fort Benning, GA 31905</t>
  </si>
  <si>
    <t>Point(-84.967022 32.353115)</t>
  </si>
  <si>
    <t>Fort Stewart 3d Infantry Division Museum</t>
  </si>
  <si>
    <t>158 Cavalry Way, Building 506, Fort Stewart, GA 31314</t>
  </si>
  <si>
    <t>Point(-81.612226 31.865042)</t>
  </si>
  <si>
    <t>Henry A. Hunt Memorial Library</t>
  </si>
  <si>
    <t>1005 State University Drive, Fort Valley, GA 31030</t>
  </si>
  <si>
    <t>Point(-83.894914 32.53865)</t>
  </si>
  <si>
    <t>Franklin County Historical Society</t>
  </si>
  <si>
    <t>280 Busha Road, Carnesville, GA 30521</t>
  </si>
  <si>
    <t>Point(-83.222653 34.377376)</t>
  </si>
  <si>
    <t>Genealogical Society of Henry and Clayton Counties</t>
  </si>
  <si>
    <t>71 Macon Street, McDonough, GA 30253</t>
  </si>
  <si>
    <t>Point(-84.146665 33.445588)</t>
  </si>
  <si>
    <t>Georgia Baptist Historical Archive and Museum</t>
  </si>
  <si>
    <t>6405 Sugarloaf Parkway, Duluth, GA 30097</t>
  </si>
  <si>
    <t>Point(-84.088697 33.992857)</t>
  </si>
  <si>
    <t>Georgia Capitol Museum</t>
  </si>
  <si>
    <t>206 State Capitol, Atlanta, GA 30334</t>
  </si>
  <si>
    <t>Point(-84.388087 33.748849)</t>
  </si>
  <si>
    <t>Georgia College &amp; State University Ina Dillard Russell Library</t>
  </si>
  <si>
    <t>221 North Clarke Street, Milledgeville, GA 31061</t>
  </si>
  <si>
    <t>Point(-83.231832 33.082782)</t>
  </si>
  <si>
    <t>Georgia Council for the Arts</t>
  </si>
  <si>
    <t>75 Fifth Street NW, Suite 1200, Atlanta, GA 30308</t>
  </si>
  <si>
    <t>Point(-84.389098 33.777452)</t>
  </si>
  <si>
    <t>Georgia Genealogical Society</t>
  </si>
  <si>
    <t>Georgia Gwinnett College Daniel J. Kaufman Library &amp; Learning Center</t>
  </si>
  <si>
    <t>1000 University Center Lane, Lawrenceville, GA 30043</t>
  </si>
  <si>
    <t>Point(-84.004763 33.979338)</t>
  </si>
  <si>
    <t>Georgia Institute of Technology Archives &amp; Special Collections</t>
  </si>
  <si>
    <t>Clough Commons, 266 4th Street NW, Atlanta, GA 30332</t>
  </si>
  <si>
    <t>Point(-84.396414 33.774926)</t>
  </si>
  <si>
    <t>Georgia Libraries for Accessible Statewide Services</t>
  </si>
  <si>
    <t>55 Park Place NE, Suite 300, Atlanta, GA 30303</t>
  </si>
  <si>
    <t>Point(-84.387266 33.755945)</t>
  </si>
  <si>
    <t>Georgia Society of Mayflower Descendants</t>
  </si>
  <si>
    <t>Georgia Society of the Dames of the Court of Honor</t>
  </si>
  <si>
    <t>Georgia Society of the Sons of the American Revolution</t>
  </si>
  <si>
    <t>Southern Crescent Technical College Flint River Campus Library</t>
  </si>
  <si>
    <t>Building B, 1533 Highway 19 South, Thomaston, GA 30286</t>
  </si>
  <si>
    <t>Point(-84.317513 32.861565)</t>
  </si>
  <si>
    <t>Gordon County Historical Society</t>
  </si>
  <si>
    <t>335 South Wall Street, Calhoun, GA 30701</t>
  </si>
  <si>
    <t>Point(-84.951947 34.498303)</t>
  </si>
  <si>
    <t>Grady County Historical Society</t>
  </si>
  <si>
    <t>101 North Broad Street, Cairo, GA 39828</t>
  </si>
  <si>
    <t>Point(-84.208307 30.877486)</t>
  </si>
  <si>
    <t>Greene County Historical Society Museum</t>
  </si>
  <si>
    <t>201 East Greene Street, Greensboro, GA 30642</t>
  </si>
  <si>
    <t>Point(-83.180807 33.576732)</t>
  </si>
  <si>
    <t>Southern Crescent Technical College Griffin Campus Library</t>
  </si>
  <si>
    <t>Technology Building, 501 Varsity Road, Griffin, GA 30223</t>
  </si>
  <si>
    <t>Point(-84.290054 33.255084)</t>
  </si>
  <si>
    <t>Griffin-Spalding Historical Society</t>
  </si>
  <si>
    <t>633 Meriwether Street, Griffin, GA 30224</t>
  </si>
  <si>
    <t>Point(-84.2735 33.244268)</t>
  </si>
  <si>
    <t>Guale Historical Society</t>
  </si>
  <si>
    <t>Georgia State Society Daughters of the American Revolution</t>
  </si>
  <si>
    <t>Georgia State University Special Collections</t>
  </si>
  <si>
    <t>Point(-84.387013 33.752252)</t>
  </si>
  <si>
    <t>St. Marys Historic Preservation Commission</t>
  </si>
  <si>
    <t>418 Osborne Street, St. Marys, GA 31558</t>
  </si>
  <si>
    <t>Point(-81.546962 30.72561)</t>
  </si>
  <si>
    <t>Candler County Historical Society Museum</t>
  </si>
  <si>
    <t>245 West Vertia Street, Metter, GA 30439</t>
  </si>
  <si>
    <t>Point(-82.064364 32.394888)</t>
  </si>
  <si>
    <t>Catoosa County Historical Society</t>
  </si>
  <si>
    <t>41 Catoosa Parkway, Ringgold, GA 30736</t>
  </si>
  <si>
    <t>Point(-85.076948 34.906287)</t>
  </si>
  <si>
    <t>Mildred E. Ward Special Collections Room Catoosa County Library</t>
  </si>
  <si>
    <t>Point(-85.181744 34.935471)</t>
  </si>
  <si>
    <t>Guyton Historical Society</t>
  </si>
  <si>
    <t>Gwinnett Historical Society</t>
  </si>
  <si>
    <t>185 West Crogan Street, Lawrenceville, GA 30046</t>
  </si>
  <si>
    <t>Point(-83.989021 33.956817)</t>
  </si>
  <si>
    <t>Gwinnett History Museum</t>
  </si>
  <si>
    <t>455 South Perry Street, Lawrenceville, GA 30046</t>
  </si>
  <si>
    <t>Point(-83.988883 33.952532)</t>
  </si>
  <si>
    <t>Habersham County Historical Society Inc.</t>
  </si>
  <si>
    <t>353 Chattahoochee Street, Cornelia, GA 30531</t>
  </si>
  <si>
    <t>Point(-83.529963 34.513482)</t>
  </si>
  <si>
    <t>Hahira Historical Society</t>
  </si>
  <si>
    <t>116 East Lawson Street, Hahira, GA 31632</t>
  </si>
  <si>
    <t>Point(-83.370529 30.992475)</t>
  </si>
  <si>
    <t>Hall County Historical Society</t>
  </si>
  <si>
    <t>380 Green Street NE, Gainesville, GA 30501</t>
  </si>
  <si>
    <t>Point(-83.82549 34.304518)</t>
  </si>
  <si>
    <t>Hamburg State Park Museum</t>
  </si>
  <si>
    <t>Point(-82.778086 33.206814)</t>
  </si>
  <si>
    <t>Hapeville Historical Society</t>
  </si>
  <si>
    <t>620 South Central Avenue, Hapeville, Georgia 30354</t>
  </si>
  <si>
    <t>Point(-84.40959 33.658866)</t>
  </si>
  <si>
    <t>Haralson County Historical Society</t>
  </si>
  <si>
    <t>Point(-85.189232 33.802573)</t>
  </si>
  <si>
    <t>Hart County Historical Society</t>
  </si>
  <si>
    <t>31 East Howell Street, Hartwell, GA 30643</t>
  </si>
  <si>
    <t>Point(-82.937952 34.354029)</t>
  </si>
  <si>
    <t>Heritage Sandy Springs Museum and Park</t>
  </si>
  <si>
    <t>6110 Blue Stone Road, Sandy Springs, GA 30328</t>
  </si>
  <si>
    <t>Point(-84.382146 33.922113)</t>
  </si>
  <si>
    <t>Historic Augusta Inc</t>
  </si>
  <si>
    <t>415 Seventh Street, Augusta, GA 30903</t>
  </si>
  <si>
    <t>Point(-81.964973 33.47189)</t>
  </si>
  <si>
    <t>Historic Effingham Society</t>
  </si>
  <si>
    <t>1002 Pine Street, Springfield, GA 31329</t>
  </si>
  <si>
    <t>Point(-81.316003 32.374416)</t>
  </si>
  <si>
    <t>Historic Oglethorpe County</t>
  </si>
  <si>
    <t>Historic Preservation Society of Social Circle</t>
  </si>
  <si>
    <t>403 West Hightower Trail, Social Circle, GA 30025</t>
  </si>
  <si>
    <t>Point(-83.724834 33.659406)</t>
  </si>
  <si>
    <t>Historic Savannah Foundation</t>
  </si>
  <si>
    <t>321 East York Street, Savannah, GA 31401</t>
  </si>
  <si>
    <t>Point(-81.0883 32.076446)</t>
  </si>
  <si>
    <t>Historical Society of Cumming/Forsyth County</t>
  </si>
  <si>
    <t>Historical Society of Walton County</t>
  </si>
  <si>
    <t>Huguenot Society of Georgia</t>
  </si>
  <si>
    <t>488 Schofield Drive, Powder Springs, GA 30127</t>
  </si>
  <si>
    <t>Point(-84.697615 33.946141)</t>
  </si>
  <si>
    <t>Huguenot Society of the Founders of Manakin in the Colony of Virginia Georgia Branch</t>
  </si>
  <si>
    <t>1041 Saint Andrews Drive, Watkinsville, GA 30677</t>
  </si>
  <si>
    <t>Point(-83.479989 33.91895)</t>
  </si>
  <si>
    <t>Hurn Museum of Contemporary Folk Art</t>
  </si>
  <si>
    <t>10 West Taylor Street, Savannah, GA 31401</t>
  </si>
  <si>
    <t>Point(-81.095038 32.07193)</t>
  </si>
  <si>
    <t>Huxford Genealogical Society</t>
  </si>
  <si>
    <t>Indian Springs State Park Museum</t>
  </si>
  <si>
    <t>678 Lake Clark Road, Flovilla, GA 30216</t>
  </si>
  <si>
    <t>Point(-83.926578 33.250922)</t>
  </si>
  <si>
    <t>Georgia Northwestern Technical College Gordon County Campus Library</t>
  </si>
  <si>
    <t>1151 Highway 53 Spur, Calhoun, GA 30701</t>
  </si>
  <si>
    <t>Point(-84.968618 34.492186)</t>
  </si>
  <si>
    <t>Istanbul Cultural Center</t>
  </si>
  <si>
    <t>591 North Main Street, Suite 100, Alpharetta, GA 30009</t>
  </si>
  <si>
    <t>Point(-84.291354 34.090924)</t>
  </si>
  <si>
    <t>James Earl Carter Library</t>
  </si>
  <si>
    <t>800 Georgia Southwestern State University Drive, Americus, GA 31709</t>
  </si>
  <si>
    <t>Point(-84.217092 32.053455)</t>
  </si>
  <si>
    <t>James G. Kenan Research Center Atlanta History Center</t>
  </si>
  <si>
    <t>Point(-84.387376 33.841078)</t>
  </si>
  <si>
    <t>Jefferson County Historical Society Museum and Archives</t>
  </si>
  <si>
    <t>112 West Broad Street, Louisville, GA 30434</t>
  </si>
  <si>
    <t>Point(-82.410022 33.00003)</t>
  </si>
  <si>
    <t>Society of Tumbling Waters Jackson County Inc.</t>
  </si>
  <si>
    <t>Society for Georgia Archaeology</t>
  </si>
  <si>
    <t>Georgia Northwestern Technical College Floyd County Campus Library</t>
  </si>
  <si>
    <t>1 Maurice Culberson Drive, Rome, GA 30161</t>
  </si>
  <si>
    <t>Point(-85.171455 34.225055)</t>
  </si>
  <si>
    <t>Historic Talbotton Foundation</t>
  </si>
  <si>
    <t>780 Fielders Mill Road, Junction City, GA 31812</t>
  </si>
  <si>
    <t>Point(-84.469655 32.602278)</t>
  </si>
  <si>
    <t>Johnson County Historical Society</t>
  </si>
  <si>
    <t>40 Will Tom Circle, Wrightsville, GA 31096</t>
  </si>
  <si>
    <t>Point(-82.690865 32.768177)</t>
  </si>
  <si>
    <t>Kennesaw Historical Society</t>
  </si>
  <si>
    <t>Kennesaw State University Archives</t>
  </si>
  <si>
    <t>385 Cobb Avenue, MD 1704, Kennesaw, GA 30144</t>
  </si>
  <si>
    <t>Georgia Northwestern Technical College Polk County Campus Library</t>
  </si>
  <si>
    <t>466 Brock Road, Rockmart, GA 30153</t>
  </si>
  <si>
    <t>Point(-85.038105 34.022187)</t>
  </si>
  <si>
    <t>King Library and Archives</t>
  </si>
  <si>
    <t>449 Auburn Avenue NE, Atlanta, GA 30312</t>
  </si>
  <si>
    <t>Point(-84.373034 33.755264)</t>
  </si>
  <si>
    <t>King-Tisdell Cottage</t>
  </si>
  <si>
    <t>514 East Huntingdon Street, Savannah, GA 31401</t>
  </si>
  <si>
    <t>Point(-81.089456 32.067624)</t>
  </si>
  <si>
    <t>Kolomoki Mounds State Park Museum</t>
  </si>
  <si>
    <t>Point(-84.948242 31.468304)</t>
  </si>
  <si>
    <t>LaGrange Art Museum</t>
  </si>
  <si>
    <t>112 Lafayette Parkway, LaGrange, GA 30240</t>
  </si>
  <si>
    <t>Point(-85.030108 33.038297)</t>
  </si>
  <si>
    <t>Frank and Laura Lewis Library</t>
  </si>
  <si>
    <t>601 Broad Street, LaGrange, GA 30240</t>
  </si>
  <si>
    <t>Point(-85.043103 33.038528)</t>
  </si>
  <si>
    <t>Lee-Stelzer Heritage Research Museum</t>
  </si>
  <si>
    <t>372 Sisson Avenue NE, Atlanta, GA 30317</t>
  </si>
  <si>
    <t>Point(-84.314892 33.764046)</t>
  </si>
  <si>
    <t>Liberty County Historical Society</t>
  </si>
  <si>
    <t>Roswell Georgia Family History Center</t>
  </si>
  <si>
    <t>500 Norcross Street, Roswell, GA 30077</t>
  </si>
  <si>
    <t>Point(-84.345695 34.026462)</t>
  </si>
  <si>
    <t>University of North Georgia Special Collections &amp; Archives Dahlonega Campus</t>
  </si>
  <si>
    <t>117 Georgia Circle, Dahlonega, GA 30597</t>
  </si>
  <si>
    <t>Point(-83.982574 34.527393)</t>
  </si>
  <si>
    <t>Lincoln County Historical Society</t>
  </si>
  <si>
    <t>147 Lumber Street, Lincolnton, GA 30817</t>
  </si>
  <si>
    <t>Point(-82.478148 33.787993)</t>
  </si>
  <si>
    <t>Longstreet Society</t>
  </si>
  <si>
    <t>Lower Altamaha Historical Society</t>
  </si>
  <si>
    <t>Point(-81.413887 31.364981)</t>
  </si>
  <si>
    <t>Lumpkin County Historical Society</t>
  </si>
  <si>
    <t>Mable House Arts Center and Historic House</t>
  </si>
  <si>
    <t>5239 Floyd Road, Mableton, GA 30126</t>
  </si>
  <si>
    <t>Point(-84.575377 33.82593)</t>
  </si>
  <si>
    <t>Macon County Historical Society and Museum</t>
  </si>
  <si>
    <t>97 South Dooly Street, Montezuma, GA 31063</t>
  </si>
  <si>
    <t>Point(-84.029439 32.300682)</t>
  </si>
  <si>
    <t>Middle Georgia State University Macon Campus Library</t>
  </si>
  <si>
    <t>100 University Parkway, Macon, GA 31206</t>
  </si>
  <si>
    <t>Point(-83.732958 32.8085)</t>
  </si>
  <si>
    <t>Madison County Heritage Foundation</t>
  </si>
  <si>
    <t>Marble Valley Historical Society</t>
  </si>
  <si>
    <t>Georgia State Society National Society United States Daughters of 1812</t>
  </si>
  <si>
    <t>Massie Heritage Center</t>
  </si>
  <si>
    <t>207 East Gordon Street, Savannah, GA 31401</t>
  </si>
  <si>
    <t>Point(-81.092419 32.070218)</t>
  </si>
  <si>
    <t>Minis Room and Armstrong Campus Archives</t>
  </si>
  <si>
    <t>Point(-81.161716 31.979057)</t>
  </si>
  <si>
    <t>Moore Methodist Museum</t>
  </si>
  <si>
    <t>100 Arthur Moore Museum, St. Simons Island, GA 31522</t>
  </si>
  <si>
    <t>Point(-81.406167 31.17275)</t>
  </si>
  <si>
    <t>Morgan County African American Museum</t>
  </si>
  <si>
    <t>156 Academy Street, Madison, GA 30650</t>
  </si>
  <si>
    <t>Point(-83.470034 33.595871)</t>
  </si>
  <si>
    <t>Heritage Hall</t>
  </si>
  <si>
    <t>277 South Main Street, Madison, GA 30650</t>
  </si>
  <si>
    <t>Point(-83.470013 33.594243)</t>
  </si>
  <si>
    <t>Morgan County Landmarks Society</t>
  </si>
  <si>
    <t>Morgan County Records Archives</t>
  </si>
  <si>
    <t>Point(-83.4661 33.595977)</t>
  </si>
  <si>
    <t>Muscogee Genealogical Society</t>
  </si>
  <si>
    <t>Museum and Archives of Georgia Education</t>
  </si>
  <si>
    <t>131 South Clarke Street, Milledgeville, GA 31061</t>
  </si>
  <si>
    <t>Point(-83.232181 33.079316)</t>
  </si>
  <si>
    <t>McDuffie Museum</t>
  </si>
  <si>
    <t>121 Main Street, Thomson, GA 30824</t>
  </si>
  <si>
    <t>Point(-82.502676 33.466238)</t>
  </si>
  <si>
    <t>Mercer Williams House Museum</t>
  </si>
  <si>
    <t>Point(-81.095568 32.071393)</t>
  </si>
  <si>
    <t>Meriwether Historical Society</t>
  </si>
  <si>
    <t>Midway Museum</t>
  </si>
  <si>
    <t>491 North Coastal Highway, Midway, GA 31320</t>
  </si>
  <si>
    <t>Point(-81.429953 31.806722)</t>
  </si>
  <si>
    <t>Jack Tarver Library Mercer University Macon Campus</t>
  </si>
  <si>
    <t>1501 Mercer University Drive, Macon, GA 31207</t>
  </si>
  <si>
    <t>Point(-83.64928 32.829079)</t>
  </si>
  <si>
    <t>Skelton Medical Library Macon Mercer University School of Medicine</t>
  </si>
  <si>
    <t>Point(-83.647749 32.828253)</t>
  </si>
  <si>
    <t>Middle Georgia Regional Library Genealogical &amp; Historical Room</t>
  </si>
  <si>
    <t>Point(-83.638757 32.838821)</t>
  </si>
  <si>
    <t>Andersonsonville Guild</t>
  </si>
  <si>
    <t>Newton County Historical Society</t>
  </si>
  <si>
    <t>Norcross Welcome Center and Museum</t>
  </si>
  <si>
    <t>189 Lawrenceville Street NW, Norcross, GA 30071</t>
  </si>
  <si>
    <t>Point(-84.209822 33.943663)</t>
  </si>
  <si>
    <t>Northwest Georgia Historical and Genealogical Society</t>
  </si>
  <si>
    <t>Dublin-Laurens Heritage Center</t>
  </si>
  <si>
    <t>Point(-82.916345 32.537706)</t>
  </si>
  <si>
    <t>Philip Weltner Library Oglethorpe University</t>
  </si>
  <si>
    <t>4484 Peachtree Road NE, Atlanta, GA 30319</t>
  </si>
  <si>
    <t>Point(-84.334739 33.875942)</t>
  </si>
  <si>
    <t>Okefenokee Heritage Center</t>
  </si>
  <si>
    <t>1460 North Augusta Avenue, Waycross, GA 31503</t>
  </si>
  <si>
    <t>Point(-82.385364 31.233869)</t>
  </si>
  <si>
    <t>Old Campbell County Historical Society</t>
  </si>
  <si>
    <t>Old Clinton Historical Society</t>
  </si>
  <si>
    <t>154 Randolph St., Gray, GA 31032</t>
  </si>
  <si>
    <t>Point(-83.557704 32.999149)</t>
  </si>
  <si>
    <t>Historic Haralson County Courthouse</t>
  </si>
  <si>
    <t>126 Van Wert Street, Buchanan, GA 30113</t>
  </si>
  <si>
    <t>Point(-85.189608 33.801891)</t>
  </si>
  <si>
    <t>Oxford College Library Emory University</t>
  </si>
  <si>
    <t>801 Emory Street, Oxford, GA 30054</t>
  </si>
  <si>
    <t>Point(-83.86773 33.620891)</t>
  </si>
  <si>
    <t>Oxford Historical Society</t>
  </si>
  <si>
    <t>Collins-Callaway Library &amp; Learning Resources Center Paine College</t>
  </si>
  <si>
    <t>1235 Fifteenth Street, Augusta, GA 30901</t>
  </si>
  <si>
    <t>Point(-81.993449 33.468264)</t>
  </si>
  <si>
    <t>Paulding County Historical Society</t>
  </si>
  <si>
    <t>295 North Johnston Street, Dallas, GA 30132</t>
  </si>
  <si>
    <t>Point(-84.844191 33.928007)</t>
  </si>
  <si>
    <t>Arrendale Library Piedmont College</t>
  </si>
  <si>
    <t>1021 Central Avenue, Demorest, Georgia 30535</t>
  </si>
  <si>
    <t>Point(-83.542086 34.565958)</t>
  </si>
  <si>
    <t>Pierce County Historical and Genealogical Society</t>
  </si>
  <si>
    <t>200 SW Central Ave, Blackshear, GA 31516</t>
  </si>
  <si>
    <t>Point(-82.240899 31.302979)</t>
  </si>
  <si>
    <t>Pine Mountain Gold Museum</t>
  </si>
  <si>
    <t>1881 Stockmar Road, Villa Rica, GA 30180</t>
  </si>
  <si>
    <t>Point(-84.885868 33.753385)</t>
  </si>
  <si>
    <t>Pioneer Historical Society</t>
  </si>
  <si>
    <t>Prater's Mill Foundation</t>
  </si>
  <si>
    <t>Pulaski Historical Commission</t>
  </si>
  <si>
    <t>96 Broad Street, Hawkinsville, GA 31036</t>
  </si>
  <si>
    <t>Point(-83.467905 32.282091)</t>
  </si>
  <si>
    <t>Brooks County Museum and Cultural Center</t>
  </si>
  <si>
    <t>121 North Culpepper Street, Quitman, GA 31643</t>
  </si>
  <si>
    <t>Point(-83.558867 30.785577)</t>
  </si>
  <si>
    <t>Rabun County Historical Society</t>
  </si>
  <si>
    <t>81 North Church Street, Clayton, GA 30525</t>
  </si>
  <si>
    <t>Point(-83.401852 34.881079)</t>
  </si>
  <si>
    <t>Randolph Historical Society</t>
  </si>
  <si>
    <t>Rockdale-Newton County Genealogical Society</t>
  </si>
  <si>
    <t>1275 Flat Shoals Road, Conyers, GA</t>
  </si>
  <si>
    <t>Point(-84.006374 33.640042)</t>
  </si>
  <si>
    <t>Rockdale County Historical Society</t>
  </si>
  <si>
    <t>967 Milstead Avenue, Conyers, GA 30012</t>
  </si>
  <si>
    <t>Rome Area Heritage Foundation</t>
  </si>
  <si>
    <t>Rome-Floyd County Library Special Collections</t>
  </si>
  <si>
    <t>205 Riverside Parkway NE, Rome, GA 30161</t>
  </si>
  <si>
    <t>Point(-85.169022 34.258245)</t>
  </si>
  <si>
    <t>Roopville Archive and Historical Society</t>
  </si>
  <si>
    <t>165 Old Highway 27, Roopville, GA 30170</t>
  </si>
  <si>
    <t>Point(-85.131399 33.455984)</t>
  </si>
  <si>
    <t>Oconee Fall Line Technical College North Campus Library</t>
  </si>
  <si>
    <t>1189 Deepstep Road, Sandersville, GA 31082</t>
  </si>
  <si>
    <t>Point(-82.83882 32.996964)</t>
  </si>
  <si>
    <t>Savannah Area Genealogical Association</t>
  </si>
  <si>
    <t>Savannah Jewish Archives</t>
  </si>
  <si>
    <t>1440 Spring Street, NW Atlanta, GA 30309</t>
  </si>
  <si>
    <t>Savannah River Valley Genealogical Society</t>
  </si>
  <si>
    <t>Savannah-Ogeechee Canal Museum and Nature Center</t>
  </si>
  <si>
    <t>Ellaville/Schley County Historical Society</t>
  </si>
  <si>
    <t>Seven Springs Museum at the Historic Bodiford House</t>
  </si>
  <si>
    <t>4355 Marietta Street, Powder Springs, GA 30127</t>
  </si>
  <si>
    <t>Point(-84.680992 33.859285)</t>
  </si>
  <si>
    <t>Society of the War of 1812 in the State of Georgia</t>
  </si>
  <si>
    <t>Georgia Branch Sons and Daughters of the Pilgrims</t>
  </si>
  <si>
    <t>Georgia Division Sons of Confederate Veterans</t>
  </si>
  <si>
    <t>South Georgia Genealogical Society</t>
  </si>
  <si>
    <t>Southern Forest World</t>
  </si>
  <si>
    <t>1440 North Augusta Avenue, Waycross, GA 31503</t>
  </si>
  <si>
    <t>Point(-82.383171 31.235073)</t>
  </si>
  <si>
    <t>Spelman College Archives</t>
  </si>
  <si>
    <t>350 Spelman Lane SW, Atlanta, GA 30314</t>
  </si>
  <si>
    <t>Point(-84.412396 33.746337)</t>
  </si>
  <si>
    <t>Southwest Georgia Regional Library Genealogy Department</t>
  </si>
  <si>
    <t>Point(-84.569803 30.903525)</t>
  </si>
  <si>
    <t>Sparta-Hancock County Historical Society</t>
  </si>
  <si>
    <t>526 Court Street, Sparta, GA 31087</t>
  </si>
  <si>
    <t>Point(-82.975738 33.27403)</t>
  </si>
  <si>
    <t>Georgia Alliance of Preservation Commissions</t>
  </si>
  <si>
    <t>Kennesaw State University L.V. Johnson Library</t>
  </si>
  <si>
    <t>1100 South Marietta Parkway SE, Marietta, GA 30060</t>
  </si>
  <si>
    <t>Point(-84.520089 33.939228)</t>
  </si>
  <si>
    <t>Southwest Georgia Genealogical Society</t>
  </si>
  <si>
    <t>Point(-84.153994 31.578005)</t>
  </si>
  <si>
    <t>Taliaferro County Historical Society</t>
  </si>
  <si>
    <t>Sumter Historic Trust</t>
  </si>
  <si>
    <t>318 East Church Street, Americus, GA 31709</t>
  </si>
  <si>
    <t>Point(-84.228153 32.070846)</t>
  </si>
  <si>
    <t>Stephens County Historical Society</t>
  </si>
  <si>
    <t>Point(-83.33212 34.578475)</t>
  </si>
  <si>
    <t>Stewart County Historical Commission</t>
  </si>
  <si>
    <t>Taylor County Historical-Genealogical Society</t>
  </si>
  <si>
    <t>670 West Old Wire Road, Butler, GA 31006</t>
  </si>
  <si>
    <t>Point(-84.308003 32.666925)</t>
  </si>
  <si>
    <t>Terrell County Historic Preservation Society</t>
  </si>
  <si>
    <t>Terry L. Coleman Museum and Archives</t>
  </si>
  <si>
    <t>1100 Second Street SE, Cochran, GA 31014</t>
  </si>
  <si>
    <t>Point(-83.347181 32.381068)</t>
  </si>
  <si>
    <t>Thomas County Historical Society</t>
  </si>
  <si>
    <t>Point(-83.984445 30.846133)</t>
  </si>
  <si>
    <t>Thomas University Library</t>
  </si>
  <si>
    <t>1501 Millpond Road, Thomasville, GA 31792</t>
  </si>
  <si>
    <t>Point(-83.963565 30.81566)</t>
  </si>
  <si>
    <t>Thomaston-Upson Archives</t>
  </si>
  <si>
    <t>301 South Center Street, Thomaston, GA 30286</t>
  </si>
  <si>
    <t>Point(-84.325862 32.886085)</t>
  </si>
  <si>
    <t>Thomasville Genealogical Library</t>
  </si>
  <si>
    <t>Point(-83.964068 30.816568)</t>
  </si>
  <si>
    <t>Thomasville Landmarks</t>
  </si>
  <si>
    <t>312 North Broad Street, Thomasville, GA 31799</t>
  </si>
  <si>
    <t>Point(-83.98203 30.83995)</t>
  </si>
  <si>
    <t>Towns County Historical Society</t>
  </si>
  <si>
    <t>900 North Main Street, Hiawassee, GA 30546</t>
  </si>
  <si>
    <t>Point(-83.762266 34.960732)</t>
  </si>
  <si>
    <t>Traveler's Rest State Historic Site</t>
  </si>
  <si>
    <t>4339 Riverdale Road, Toccoa, GA 30577</t>
  </si>
  <si>
    <t>Point(-83.238769 34.609291)</t>
  </si>
  <si>
    <t>Tybee Island Historical Society</t>
  </si>
  <si>
    <t>Point(-80.845022 32.022218)</t>
  </si>
  <si>
    <t>Union County Historical Society</t>
  </si>
  <si>
    <t>1 Town Square, Blairsville, GA 30514</t>
  </si>
  <si>
    <t>Point(-83.95851 34.876122)</t>
  </si>
  <si>
    <t>United Daughters of the Confederacy Georgia Division Savannah Chapter 2</t>
  </si>
  <si>
    <t>United States Daughters of 1812 Georgia State Society</t>
  </si>
  <si>
    <t>Walter J. Brown Media Archive &amp; Peabody Awards Collection</t>
  </si>
  <si>
    <t>University of West Georgia Ingram Library</t>
  </si>
  <si>
    <t>1601 Maple Street Carrollton, GA 30118</t>
  </si>
  <si>
    <t>Point(-85.097769 33.573432)</t>
  </si>
  <si>
    <t>Upson Historical Society</t>
  </si>
  <si>
    <t>Valdosta Heritage Foundation</t>
  </si>
  <si>
    <t>303 Wells Street, Valdosta, Georgia 31601</t>
  </si>
  <si>
    <t>Point(-83.285621 30.830722)</t>
  </si>
  <si>
    <t>Victorian Society of Savannah</t>
  </si>
  <si>
    <t>807 Abercorn Street, Savannah, GA 31401</t>
  </si>
  <si>
    <t>Point(-81.094494 32.066199)</t>
  </si>
  <si>
    <t>Walker County Historical Society</t>
  </si>
  <si>
    <t>Point(-85.280923 34.702502)</t>
  </si>
  <si>
    <t>Vernacular Georgia</t>
  </si>
  <si>
    <t>Washington-Wilkes Historical Foundation</t>
  </si>
  <si>
    <t>Point(-82.732083 33.735278)</t>
  </si>
  <si>
    <t>West Georgia Museum</t>
  </si>
  <si>
    <t>185 Mann Street, Tallapoosa, GA 30176</t>
  </si>
  <si>
    <t>Point(-85.293227 33.751764)</t>
  </si>
  <si>
    <t>White County Historical Society</t>
  </si>
  <si>
    <t>US-129, Cleveland, GA 30528</t>
  </si>
  <si>
    <t>Point(-83.763264 34.597069)</t>
  </si>
  <si>
    <t>Lucy Lester Willet Memorial Library</t>
  </si>
  <si>
    <t>4760 Forsyth Road, Macon, GA 31210</t>
  </si>
  <si>
    <t>Point(-83.71247 32.874588)</t>
  </si>
  <si>
    <t>South Georgia State College Archives and Special Collections</t>
  </si>
  <si>
    <t>100 West College Park Drive, Douglas, GA 31533</t>
  </si>
  <si>
    <t>Point(-82.854455 31.497767)</t>
  </si>
  <si>
    <t>Woodward Academy/GMA Archives</t>
  </si>
  <si>
    <t>1662 Rugby Avenue, College Park, GA 30337</t>
  </si>
  <si>
    <t>Point(-84.44415 33.662995)</t>
  </si>
  <si>
    <t>World War II Flight Training Museum</t>
  </si>
  <si>
    <t>3 Airport Circle, Douglas, GA 31534</t>
  </si>
  <si>
    <t>Point(-82.852228 31.480029)</t>
  </si>
  <si>
    <t>Afro-American Historical and Genealogical Society Metro Atlanta Chapter</t>
  </si>
  <si>
    <t>Worth County Historical Society</t>
  </si>
  <si>
    <t>108 East Willingham Street, Sylvester, GA 31791</t>
  </si>
  <si>
    <t>Point(-83.835991 31.531621)</t>
  </si>
  <si>
    <t>Wrightsboro Foundation</t>
  </si>
  <si>
    <t>Wynne-Russell House</t>
  </si>
  <si>
    <t>4684 Wynne Russell Drive NW, Lilburn, GA 30047</t>
  </si>
  <si>
    <t>Point(-84.137705 33.899263)</t>
  </si>
  <si>
    <t>Zell &amp; Shirley Miller Library</t>
  </si>
  <si>
    <t>1 College Street, Young Harris, GA 30582</t>
  </si>
  <si>
    <t>Point(-83.84587 34.933452)</t>
  </si>
  <si>
    <t>Athens Historical Society</t>
  </si>
  <si>
    <t>Athens-Clarke County Library Heritage Room</t>
  </si>
  <si>
    <t>Point(-83.403661 33.944957)</t>
  </si>
  <si>
    <t>Burke County Archives</t>
  </si>
  <si>
    <t>403 Old Herndon Road, Waynesboro, GA 30830</t>
  </si>
  <si>
    <t>Point(-82.015657 33.082813)</t>
  </si>
  <si>
    <t>Burke County Genealogical and Historical Society</t>
  </si>
  <si>
    <t>Point(-82.015665 33.082826)</t>
  </si>
  <si>
    <t>South Georgia State College Archives and Special Collections Waycross Campus</t>
  </si>
  <si>
    <t>2001 South Georgia Parkway, Waycross, GA 31503</t>
  </si>
  <si>
    <t>Point(-82.389528 31.205972)</t>
  </si>
  <si>
    <t>Coffee County Historical Society</t>
  </si>
  <si>
    <t>Point(-82.852495 31.509334)</t>
  </si>
  <si>
    <t>Huxford-Spear Genealogical Library</t>
  </si>
  <si>
    <t>20 South College Street, Homerville, GA 31634</t>
  </si>
  <si>
    <t>Point(-82.751373 31.03514)</t>
  </si>
  <si>
    <t>Willow Hill Heritage &amp; Renaissance Center</t>
  </si>
  <si>
    <t>4235 Willow Hill Road, Portal, GA 30450</t>
  </si>
  <si>
    <t>Point(-81.898361 32.513687)</t>
  </si>
  <si>
    <t>University of North Georgia Special Collections &amp; Archives Gainesville Campus</t>
  </si>
  <si>
    <t>3820 Mundy Mill Road, Oakwood, GA 30566</t>
  </si>
  <si>
    <t>Point(-83.869327 34.235041)</t>
  </si>
  <si>
    <t>Middle Georgia State University Cochran Campus Roberts Memorial Library</t>
  </si>
  <si>
    <t>Point(-83.347208 32.381067)</t>
  </si>
  <si>
    <t>Middle Georgia State University Dublin Campus Library</t>
  </si>
  <si>
    <t>1900 Bellevue Road, Dublin, GA 31021</t>
  </si>
  <si>
    <t>Point(-82.936038 32.53286)</t>
  </si>
  <si>
    <t>Middle Georgia State University Eastman Campus Library</t>
  </si>
  <si>
    <t>71 Airport Road, Eastman, GA 31023</t>
  </si>
  <si>
    <t>Point(-83.127808 32.207028)</t>
  </si>
  <si>
    <t>Middle Georgia State University Warner Robins Campus Library</t>
  </si>
  <si>
    <t>100 University Boulevard, Warner Robins, GA 31093</t>
  </si>
  <si>
    <t>Point(-83.607984 32.61526)</t>
  </si>
  <si>
    <t>Douglas County Regional Academic Center Library Mercer University</t>
  </si>
  <si>
    <t>975 Blairs Bridge Road, Lithia Springs, GA 30122</t>
  </si>
  <si>
    <t>Point(-84.605885 33.770844)</t>
  </si>
  <si>
    <t>Henry County Regional Academic Center Library Mercer University</t>
  </si>
  <si>
    <t>160 Henry Parkway, McDonough, GA 30253</t>
  </si>
  <si>
    <t>Point(-84.161339 33.425542)</t>
  </si>
  <si>
    <t>Skelton Medical Library Savannah Mercer University School of Medicine</t>
  </si>
  <si>
    <t>1250 East 66th Street, Savannah, GA 31404</t>
  </si>
  <si>
    <t>Point(-81.088466 32.028259)</t>
  </si>
  <si>
    <t>Mercer University School of Medicine Columbus Campus Skelton Medical Library</t>
  </si>
  <si>
    <t>33 West 11th Street, Columbus, GA 31902</t>
  </si>
  <si>
    <t>Point(-84.995107 32.466851)</t>
  </si>
  <si>
    <t>Historic Haralson Historical Society</t>
  </si>
  <si>
    <t>Lane Library Piedmont College</t>
  </si>
  <si>
    <t>595 Prince Avenue, Athens, GA 30601</t>
  </si>
  <si>
    <t>Point(-83.387156 33.96075)</t>
  </si>
  <si>
    <t>Oconee Fall Line Technical College South Campus Library</t>
  </si>
  <si>
    <t>560 Pinehill Road, Dublin, GA 31021</t>
  </si>
  <si>
    <t>Point(-82.943728 32.48536)</t>
  </si>
  <si>
    <t>Oconee Fall Line Technical College Jefferson Library</t>
  </si>
  <si>
    <t>1257 Warrior Trail, Louisville, GA 30434</t>
  </si>
  <si>
    <t>Point(-82.416321 33.100796)</t>
  </si>
  <si>
    <t>Oconee Fall Line Technical College Little Ocmulgee Instructional Center Library</t>
  </si>
  <si>
    <t>140 North Third Avenue, Helena, GA 31037</t>
  </si>
  <si>
    <t>Point(-82.894301 32.077308)</t>
  </si>
  <si>
    <t>ACA Library of Savannah College of Art and Design</t>
  </si>
  <si>
    <t>1600 Peachtree Street, Atlanta, Georgia 30309</t>
  </si>
  <si>
    <t>Point(-84.391044 33.796739)</t>
  </si>
  <si>
    <t>Laurel Grove South Cemetery</t>
  </si>
  <si>
    <t>2101 Kollock Street, Savannah, GA 31415</t>
  </si>
  <si>
    <t>Point(-81.112722 32.061488)</t>
  </si>
  <si>
    <t>Stephens County History Museum</t>
  </si>
  <si>
    <t>Bedingfield Inn</t>
  </si>
  <si>
    <t>350 Cotton Street, Lumpkin, GA 31815</t>
  </si>
  <si>
    <t>Point(-84.795304 32.050913)</t>
  </si>
  <si>
    <t>Terrell County History Museum</t>
  </si>
  <si>
    <t>211 West Lee Street, Dawson, GA 39842</t>
  </si>
  <si>
    <t>Point(-84.448423 31.773338)</t>
  </si>
  <si>
    <t>University of Georgia Marine Extension and Sea Grant</t>
  </si>
  <si>
    <t>1180 East Broad Street, Athens, GA 30602</t>
  </si>
  <si>
    <t>Point(-83.365817 33.958816)</t>
  </si>
  <si>
    <t>Village Hall (Andersonville, Georgia)</t>
  </si>
  <si>
    <t>111 West Church Street, Andersonville, GA 31711</t>
  </si>
  <si>
    <t>Point(-84.141283 32.194573)</t>
  </si>
  <si>
    <t>Saint James Pennington Log Church</t>
  </si>
  <si>
    <t>207 West Church Street, Andersonville, GA 31711</t>
  </si>
  <si>
    <t>Point(-84.141782 32.194738)</t>
  </si>
  <si>
    <t>Lake Park Historical Society and Museum</t>
  </si>
  <si>
    <t>300 N Railroad Avenue, Lake Park, GA 31636</t>
  </si>
  <si>
    <t>Point(-83.182167 30.683167)</t>
  </si>
  <si>
    <t>Polk County Historical Society</t>
  </si>
  <si>
    <t>205 South College Street, Cedartown, GA 30125</t>
  </si>
  <si>
    <t>Point(-85.2565 34.013219444)</t>
  </si>
  <si>
    <t>Abraham Baldwin Agricultural College Bainbridge Library</t>
  </si>
  <si>
    <t>2500 East Shotwell Street, Bainbridge, GA 39819</t>
  </si>
  <si>
    <t>Point(-84.535183 30.898826)</t>
  </si>
  <si>
    <t>Jackson County Historical Society</t>
  </si>
  <si>
    <t>Point(-83.452613 34.199697)</t>
  </si>
  <si>
    <t>Crawford County Historical Society</t>
  </si>
  <si>
    <t>Clayton State University Library</t>
  </si>
  <si>
    <t>Point(-84.328249 33.594338)</t>
  </si>
  <si>
    <t>Georgia Highlands College Rome Campus Library</t>
  </si>
  <si>
    <t>3175 Cedartown Highway, Rome, GA 30161</t>
  </si>
  <si>
    <t>Point(-85.206646 34.169232)</t>
  </si>
  <si>
    <t>Georgia Highlands College Paulding Campus Library</t>
  </si>
  <si>
    <t>25 Courthouse Square, Dallas, GA 30132</t>
  </si>
  <si>
    <t>Point(-84.841816 33.923785)</t>
  </si>
  <si>
    <t>Simon Schwob Memorial Library</t>
  </si>
  <si>
    <t>4225 University Avenue, Columbus, GA 31907</t>
  </si>
  <si>
    <t>Point(-84.941043 32.500952)</t>
  </si>
  <si>
    <t>Columbus State University Music Library</t>
  </si>
  <si>
    <t>Point(-84.992419 32.463317)</t>
  </si>
  <si>
    <t>Georgia Highlands College Cartersville Campus Library</t>
  </si>
  <si>
    <t>5441 Highway 20 NE, Cartersville, GA 30121</t>
  </si>
  <si>
    <t>Point(-84.784724 34.206677)</t>
  </si>
  <si>
    <t>Georgia Highlands College Douglasville Campus Library</t>
  </si>
  <si>
    <t>5901 Stewart Parkway, Douglasville, GA 30135</t>
  </si>
  <si>
    <t>Point(-84.770851 33.71725)</t>
  </si>
  <si>
    <t>Georgia Highlands College Marietta/Kennesaw State University Campus Library</t>
  </si>
  <si>
    <t>1100 South Marietta Parkway, Marietta, GA 30060</t>
  </si>
  <si>
    <t>Point(-84.519726 33.937059)</t>
  </si>
  <si>
    <t>Library Service Center</t>
  </si>
  <si>
    <t>1260 Briarcliff Road NE, Atlanta, GA 30306</t>
  </si>
  <si>
    <t>Point(-84.342648 33.788916)</t>
  </si>
  <si>
    <t>Georgia State University Clarkston Campus Library</t>
  </si>
  <si>
    <t>555 North Indian Creek Drive, Clarkston, GA 30021</t>
  </si>
  <si>
    <t>Point(-84.234308 33.793045)</t>
  </si>
  <si>
    <t>Georgia State University Decatur Campus Library</t>
  </si>
  <si>
    <t>3251 Panthersville Road, Decatur, GA 30034</t>
  </si>
  <si>
    <t>Point(-84.274928 33.688916)</t>
  </si>
  <si>
    <t>Georgia State University Alpharetta Campus Library</t>
  </si>
  <si>
    <t>3705 Brookside Parkway, Alpharetta, GA 30022</t>
  </si>
  <si>
    <t>Point(-84.255144 34.061067)</t>
  </si>
  <si>
    <t>Georgia State University Dunwoody Campus Library</t>
  </si>
  <si>
    <t>2101 Womack Road, Dunwoody, GA 30338</t>
  </si>
  <si>
    <t>Point(-84.301873 33.940848)</t>
  </si>
  <si>
    <t>Georgia State University Newton Campus Library</t>
  </si>
  <si>
    <t>239 Cedar Lane, Covington, GA 30014</t>
  </si>
  <si>
    <t>Point(-83.757833 33.607141)</t>
  </si>
  <si>
    <t>Dorothy W. Hightower Collaborative Learning Center &amp; Library</t>
  </si>
  <si>
    <t>419 College Drive, Barnesville, GA 30204</t>
  </si>
  <si>
    <t>Point(-84.15449 33.047441)</t>
  </si>
  <si>
    <t>Middle Georgia State University Archives</t>
  </si>
  <si>
    <t>Georgia State University College of Law Library</t>
  </si>
  <si>
    <t>85 Park Place NE, Atlanta, GA 30303</t>
  </si>
  <si>
    <t>Point(-84.387208 33.756783)</t>
  </si>
  <si>
    <t>UGA Main Library</t>
  </si>
  <si>
    <t>320 South Jackson Street, Athens, GA 30602</t>
  </si>
  <si>
    <t>Point(-83.373779 33.954086)</t>
  </si>
  <si>
    <t>Shirley Mathis McBay Science Library</t>
  </si>
  <si>
    <t>210 D. W. Brooks Drive, Athens, GA 30602</t>
  </si>
  <si>
    <t>Point(-83.375307 33.94605)</t>
  </si>
  <si>
    <t>UGA Miller Learning Center</t>
  </si>
  <si>
    <t>48 Baxter Street, Athens, GA 30602</t>
  </si>
  <si>
    <t>Point(-83.376079 33.951677)</t>
  </si>
  <si>
    <t>UGA Special Collections Libraries</t>
  </si>
  <si>
    <t>300 South Hull Street, Athens, GA 30605</t>
  </si>
  <si>
    <t>Point(-83.378198 33.954053)</t>
  </si>
  <si>
    <t>UGA Map and Government Information Library</t>
  </si>
  <si>
    <t>UGA Curriculum Materials Library</t>
  </si>
  <si>
    <t>110 Carlton Street, Athens, Georgia 30602</t>
  </si>
  <si>
    <t>Point(-83.373126 33.941769)</t>
  </si>
  <si>
    <t>UGA Art Library at Lamar Dodd</t>
  </si>
  <si>
    <t>270 River Road, Athens, GA 30602</t>
  </si>
  <si>
    <t>Point(-83.369358 33.940467)</t>
  </si>
  <si>
    <t>UGA Music Library</t>
  </si>
  <si>
    <t>250 River Road, Athens, GA 30602</t>
  </si>
  <si>
    <t>Point(-83.368763 33.941114)</t>
  </si>
  <si>
    <t>UNG Library Technology Center</t>
  </si>
  <si>
    <t>Point(-83.982594 34.527419)</t>
  </si>
  <si>
    <t>UNG John Harrison Hosch Library</t>
  </si>
  <si>
    <t>Point(-83.869328 34.235072)</t>
  </si>
  <si>
    <t>UNG Oconee Library</t>
  </si>
  <si>
    <t>1201 Bishop Farms Parkway, Watkinsville, GA 30677</t>
  </si>
  <si>
    <t>Point(-83.42611 33.865883)</t>
  </si>
  <si>
    <t>Trustee Library</t>
  </si>
  <si>
    <t>625 Academy Street, Gainesville, GA 30501</t>
  </si>
  <si>
    <t>Point(-83.822285 34.304581)</t>
  </si>
  <si>
    <t>C. Benton Kline Jr. Special Collections and Archives</t>
  </si>
  <si>
    <t>Point(-84.282793 33.76362)</t>
  </si>
  <si>
    <t>Furman Smith Law Library</t>
  </si>
  <si>
    <t>1021 Georgia Avenue, Macon, GA 31207</t>
  </si>
  <si>
    <t>Point(-83.635043 32.841523)</t>
  </si>
  <si>
    <t>M. Delmar Edwards M.D. Library</t>
  </si>
  <si>
    <t>720 Westview Drive, Atlanta, GA 30310</t>
  </si>
  <si>
    <t>Point(-84.412656 33.743078)</t>
  </si>
  <si>
    <t>Memorial Library</t>
  </si>
  <si>
    <t>1 Martha Berry Circle South, Mount Berry, GA 30149</t>
  </si>
  <si>
    <t>Point(-85.189648 34.28586)</t>
  </si>
  <si>
    <t>Fountain-New Library</t>
  </si>
  <si>
    <t>U.S. 280 at 201 David-Eliza Fountain Circle, Mount Vernon, GA 30445</t>
  </si>
  <si>
    <t>Point(-82.584808 32.185732)</t>
  </si>
  <si>
    <t>Anna E. Kresge Memorial Library</t>
  </si>
  <si>
    <t>14049 Scenic Highway, Lookout Mountain, GA 30750</t>
  </si>
  <si>
    <t>Point(-85.375155 34.964114)</t>
  </si>
  <si>
    <t>Shaw-Leslie Library</t>
  </si>
  <si>
    <t>2261 West Main Street, Franklin Springs, GA 30639</t>
  </si>
  <si>
    <t>Point(-83.148231 34.283639)</t>
  </si>
  <si>
    <t>Georgia Central University Library</t>
  </si>
  <si>
    <t>6789 Peachtree Industrial Boulevard, Atlanta, GA 30360</t>
  </si>
  <si>
    <t>Point(-84.267835 33.928916)</t>
  </si>
  <si>
    <t>Sibley-Cone Library</t>
  </si>
  <si>
    <t>201 East Greene Street, Milledgeville, GA 31061</t>
  </si>
  <si>
    <t>Point(-83.223521 33.078934)</t>
  </si>
  <si>
    <t>Michael J. Lynch Law Library</t>
  </si>
  <si>
    <t>1422 West Peachtree Street NW, Atlanta, GA 30309</t>
  </si>
  <si>
    <t>Point(-84.387993 33.793422)</t>
  </si>
  <si>
    <t>Drs. Sid E. and Nell K. Williams Library</t>
  </si>
  <si>
    <t>1269 Barclay Circle, Marietta, GA 30062</t>
  </si>
  <si>
    <t>Point(-84.514616 33.932764)</t>
  </si>
  <si>
    <t>Smith Library</t>
  </si>
  <si>
    <t>3038 Evans Mill Road, Lithonia, GA 30038</t>
  </si>
  <si>
    <t>Point(-84.123118 33.697909)</t>
  </si>
  <si>
    <t>New Orleans Baptist Theological Seminary North Georgia Hub Library</t>
  </si>
  <si>
    <t>1800 Satellite Boulevard NW, Duluth, GA 30097</t>
  </si>
  <si>
    <t>Point(-84.083467 33.993572)</t>
  </si>
  <si>
    <t>P. Randolph Shy Special Collection</t>
  </si>
  <si>
    <t>Point University Library</t>
  </si>
  <si>
    <t>507 West 10th Street, West Point, GA 31833</t>
  </si>
  <si>
    <t>Point(-85.184639 32.879083)</t>
  </si>
  <si>
    <t>Hill Freeman Library and Spruill Learning Center</t>
  </si>
  <si>
    <t>7300 Reinhardt College Parkway, Waleska, GA 30183</t>
  </si>
  <si>
    <t>Point(-84.554239 34.319727)</t>
  </si>
  <si>
    <t>Richmont Graduate University Library</t>
  </si>
  <si>
    <t>1900 The Exchange SE #100, Room 105, Atlanta, GA 30339</t>
  </si>
  <si>
    <t>Point(-84.47721 33.905611)</t>
  </si>
  <si>
    <t>Cofer Library</t>
  </si>
  <si>
    <t>100 Alumni Drive, Cleveland, GA 30528</t>
  </si>
  <si>
    <t>Point(-83.747795 34.596195)</t>
  </si>
  <si>
    <t>Albany Technical College Anthony O. Parker, Ph.D. Library/Media Center</t>
  </si>
  <si>
    <t>1704 South Slappey Boulevard, Albany, GA 31701</t>
  </si>
  <si>
    <t>Point(-84.175415 31.555515)</t>
  </si>
  <si>
    <t>Atlanta Technical College Library</t>
  </si>
  <si>
    <t>1560 Metropolitan Parkway Southwest, Atlanta, GA 30310-4446</t>
  </si>
  <si>
    <t>Point(-84.401924 33.713925)</t>
  </si>
  <si>
    <t>Augusta Technical College Library</t>
  </si>
  <si>
    <t>3200 Augusta Tech Drive, Augusta, GA 30906</t>
  </si>
  <si>
    <t>Point(-82.045835 33.417738)</t>
  </si>
  <si>
    <t>Central Georgia Technical College Library</t>
  </si>
  <si>
    <t>80 Cohen Walker Drive, A Building, Room 108, Warner Robins, GA 31088</t>
  </si>
  <si>
    <t>Point(-83.667728 32.546655)</t>
  </si>
  <si>
    <t>Chattahoochee Technical College Marietta Library</t>
  </si>
  <si>
    <t>980 South Cobb Drive, Marietta, GA 30060</t>
  </si>
  <si>
    <t>Point(-84.552616 33.929068)</t>
  </si>
  <si>
    <t>Chattahoochee Technical College Canton Library</t>
  </si>
  <si>
    <t>1645 Bluffs Parkway, Canton, GA 30114</t>
  </si>
  <si>
    <t>Point(-84.466773 34.288567)</t>
  </si>
  <si>
    <t>Chattahoochee Technical College Mountain View Library</t>
  </si>
  <si>
    <t>2680 Gordy Parkway, Marietta, GA 30066</t>
  </si>
  <si>
    <t>Point(-84.467512 34.034367)</t>
  </si>
  <si>
    <t>Chattahoochee Technical College North Metro Library</t>
  </si>
  <si>
    <t>5198 Ross Road, Acworth, GA 30102</t>
  </si>
  <si>
    <t>Point(-84.669336 34.084342)</t>
  </si>
  <si>
    <t>Chattahoochee Technical College Paulding Library</t>
  </si>
  <si>
    <t>400 Nathan Dean Boulevard, Dallas, GA 30132</t>
  </si>
  <si>
    <t>Point(-84.827179 33.911601)</t>
  </si>
  <si>
    <t>Chattahoochee Technical College Woodstock Library</t>
  </si>
  <si>
    <t>8371 Main Street, Woodstock, GA 30188</t>
  </si>
  <si>
    <t>Point(-84.517745 34.104224)</t>
  </si>
  <si>
    <t>Coastal Pines Technical College Waycross Campus Library</t>
  </si>
  <si>
    <t>1701 Carswell Avenue, Waycross, GA 31503</t>
  </si>
  <si>
    <t>Point(-82.38274 31.21298)</t>
  </si>
  <si>
    <t>Coastal Pines Technical College Jesup Library</t>
  </si>
  <si>
    <t>1777 West Cherry Street, Room 1201, Jesup, GA 31545</t>
  </si>
  <si>
    <t>Point(-81.909461 31.621628)</t>
  </si>
  <si>
    <t>Coastal Pines Technical College Hazlehurst Learning Resource Center</t>
  </si>
  <si>
    <t>677 Douglas Highway, Room 102, Hazlehurst, GA 31513</t>
  </si>
  <si>
    <t>Point(-82.636784 31.829628)</t>
  </si>
  <si>
    <t>Coastal Pines Technical College Golden Isles Library</t>
  </si>
  <si>
    <t>3700 Glynco Parkway, Brunswick, GA 31525</t>
  </si>
  <si>
    <t>Point(-81.456311 31.255581)</t>
  </si>
  <si>
    <t>Coastal Pines Technical College Baxley Learning Resource Center</t>
  </si>
  <si>
    <t>1334 Golden Isles Parkway West, Room 1110, Baxley, GA 31513</t>
  </si>
  <si>
    <t>Point(-82.368128 31.787187)</t>
  </si>
  <si>
    <t>Coastal Pines Technical College Alma Learning Resource Center</t>
  </si>
  <si>
    <t>101 West 17th Street, Room 1106, Alma, GA 31510</t>
  </si>
  <si>
    <t>Point(-82.463084 31.538937)</t>
  </si>
  <si>
    <t>Columbus Technical College Library</t>
  </si>
  <si>
    <t>928 Manchester Expressway, Columbus, GA 31904</t>
  </si>
  <si>
    <t>Point(-84.977548 32.508209)</t>
  </si>
  <si>
    <t>Georgia Northwestern Technical College Walker County Campus Library</t>
  </si>
  <si>
    <t>265 Bicentennial Trail, Rock Spring, GA 30739</t>
  </si>
  <si>
    <t>Point(-85.246253 34.808811)</t>
  </si>
  <si>
    <t>Hugh F. MacMillan Law Library</t>
  </si>
  <si>
    <t>1301 Clifton Road NE, Atlanta, GA 30322</t>
  </si>
  <si>
    <t>Point(-84.320548 33.790266)</t>
  </si>
  <si>
    <t>Georgia Northwestern Technical College Whitfield Murray Campus Library</t>
  </si>
  <si>
    <t>2310 Maddox Chapel Road, Dalton, GA 30721</t>
  </si>
  <si>
    <t>Point(-84.921206 34.783014)</t>
  </si>
  <si>
    <t>Georgia Piedmont Technical College DeKalb Campus Learning Resource Center</t>
  </si>
  <si>
    <t>495 North Indian Creek Drive, Building A, Room 105, Clarkston, GA 30021</t>
  </si>
  <si>
    <t>Point(-84.234185 33.789903)</t>
  </si>
  <si>
    <t>Georgia Piedmont Technical College Newton Campus Learning Resource Center</t>
  </si>
  <si>
    <t>16200 Alcovy Road, Building B, Room 109, Covington, GA 30014</t>
  </si>
  <si>
    <t>Point(-83.824205 33.629961)</t>
  </si>
  <si>
    <t>Georgia Piedmont Technical College South DeKalb Campus Learning Resource Center</t>
  </si>
  <si>
    <t>2460 Wesley Chapel Road, Decatur, Georgia 30035</t>
  </si>
  <si>
    <t>Point(-84.211653 33.715787)</t>
  </si>
  <si>
    <t>Gwinnett Technical College Alpharetta-North Fulton Library</t>
  </si>
  <si>
    <t>Room 139 off the Atrium, 2875 Old Milton Parkway, Alpharetta, GA, 30009</t>
  </si>
  <si>
    <t>Point(-84.275728 34.068206)</t>
  </si>
  <si>
    <t>Chattahoochee Technical College Jasper Library</t>
  </si>
  <si>
    <t>100 Campus Drive, Jasper, GA 30143</t>
  </si>
  <si>
    <t>Point(-84.425736 34.470701)</t>
  </si>
  <si>
    <t>Gwinnett Technical College Lawrenceville Library</t>
  </si>
  <si>
    <t>Building 100, Room 402, 5150 Sugarloaf Parkway, Lawrenceville, GA 30043</t>
  </si>
  <si>
    <t>Point(-84.065835 33.962664)</t>
  </si>
  <si>
    <t>Lanier Technical College Hall Campus Library</t>
  </si>
  <si>
    <t>2535 Lanier Tech Drive, Gainesville, GA 30507</t>
  </si>
  <si>
    <t>Point(-83.777845 34.331021)</t>
  </si>
  <si>
    <t>Lanier Technical College Forsyth Campus Library</t>
  </si>
  <si>
    <t>3410 Ronald Reagan Boulevard, Cumming, GA 30041</t>
  </si>
  <si>
    <t>Point(-84.18504 34.14892)</t>
  </si>
  <si>
    <t>Lanier Technical College Barrow Campus Library</t>
  </si>
  <si>
    <t>965 Austin Road, Winder, GA 30680</t>
  </si>
  <si>
    <t>Point(-83.656111 33.947694)</t>
  </si>
  <si>
    <t>Lanier Technical College Dawson Campus Library</t>
  </si>
  <si>
    <t>408 Highway 9 North, Dawsonville, GA 30534</t>
  </si>
  <si>
    <t>Point(-84.111836 34.420891)</t>
  </si>
  <si>
    <t>Lanier Technical College Jackson Campus Library</t>
  </si>
  <si>
    <t>631 South Elm Street, Commerce, GA 30529</t>
  </si>
  <si>
    <t>Point(-83.447008 34.190151)</t>
  </si>
  <si>
    <t>North Georgia Technical College Blairsville Library</t>
  </si>
  <si>
    <t>121 Meeks Avenue, Blairsville, GA 30512</t>
  </si>
  <si>
    <t>Point(-83.976961 34.870782)</t>
  </si>
  <si>
    <t>North Georgia Technical College Clarkesville Library</t>
  </si>
  <si>
    <t>1500 Highway 197 North, Clarkesville, GA 30523</t>
  </si>
  <si>
    <t>Point(-83.530085 34.641217)</t>
  </si>
  <si>
    <t>North Georgia Technical College Currahee Library</t>
  </si>
  <si>
    <t>9238 Highway 17, Toccoa, GA 30577</t>
  </si>
  <si>
    <t>Point(-83.211843 34.509595)</t>
  </si>
  <si>
    <t>Ogeechee Technical College Library</t>
  </si>
  <si>
    <t>Room 348, Joseph E. Kennedy Building, One Joseph E. Kennedy Boulevard, Statesboro, Georgia 30458</t>
  </si>
  <si>
    <t>Point(-81.818472 32.395605)</t>
  </si>
  <si>
    <t>Savannah Technical College Savannah Library</t>
  </si>
  <si>
    <t>5717 White Bluff Road, Savannah, GA 31405</t>
  </si>
  <si>
    <t>Point(-81.114926 32.023387)</t>
  </si>
  <si>
    <t>Savannah Technical College Liberty County Library</t>
  </si>
  <si>
    <t>100 Technology Drive, Hinesville, GA 31313</t>
  </si>
  <si>
    <t>Point(-81.635793 31.788309)</t>
  </si>
  <si>
    <t>Savannah Technical College Effingham County Campus Learning Resource Center</t>
  </si>
  <si>
    <t>2890 Highway 21 South, Rincon, GA 31326</t>
  </si>
  <si>
    <t>Point(-81.255776 32.329183)</t>
  </si>
  <si>
    <t>South Georgia Technical College Americus Campus Library</t>
  </si>
  <si>
    <t>900 South Georgia Tech Parkway, Americus, Georgia 31709</t>
  </si>
  <si>
    <t>Point(-84.189154 32.118317)</t>
  </si>
  <si>
    <t>South Georgia Technical College Crisp County Center Library</t>
  </si>
  <si>
    <t>402 North Midway Road, Cordele, Georgia 31015</t>
  </si>
  <si>
    <t>Point(-83.74493 31.973616)</t>
  </si>
  <si>
    <t>Southern Regional Technical College Cairo Library</t>
  </si>
  <si>
    <t>1550 Highway 84 West, Cairo, GA 39828</t>
  </si>
  <si>
    <t>Point(-84.213626 30.89762)</t>
  </si>
  <si>
    <t>West Georgia Technical College Roger Schoerner Technical Library</t>
  </si>
  <si>
    <t>997 South Highway 16, Carrollton, Georgia 30116</t>
  </si>
  <si>
    <t>Point(-85.047585 33.566216)</t>
  </si>
  <si>
    <t>West Georgia Technical College Coweta Campus Library</t>
  </si>
  <si>
    <t>200 Campus Drive, Newnan, GA 30263</t>
  </si>
  <si>
    <t>Point(-84.759794 33.345983)</t>
  </si>
  <si>
    <t>West Georgia Technical College Douglas Campus Library</t>
  </si>
  <si>
    <t>4600 Timber Ridge Drive, Douglasville, Georgia 30135</t>
  </si>
  <si>
    <t>Point(-84.729147 33.734494)</t>
  </si>
  <si>
    <t>Southern Regional Technical College Tifton Library</t>
  </si>
  <si>
    <t>52 Tech Drive, Tifton, GA 31794</t>
  </si>
  <si>
    <t>Point(-83.507659 31.418608)</t>
  </si>
  <si>
    <t>West Georgia Technical College LaGrange Campus Library</t>
  </si>
  <si>
    <t>1 College Circle, LaGrange, GA 30240</t>
  </si>
  <si>
    <t>Point(-85.045251 33.000146)</t>
  </si>
  <si>
    <t>Wiregrass Georgia Technical College Ben Hill-Irwin Campus The Lewis I. Brinson, Sr. Library</t>
  </si>
  <si>
    <t>667 Perry House Road, Fitzgerald, Georgia 31750</t>
  </si>
  <si>
    <t>Point(-83.263836 31.658302)</t>
  </si>
  <si>
    <t>Wiregrass Georgia Technical College Coffee Campus Library</t>
  </si>
  <si>
    <t>706 West Baker Highway, Douglas, Georgia 31533</t>
  </si>
  <si>
    <t>Point(-82.85819 31.499842)</t>
  </si>
  <si>
    <t>Wiregrass Georgia Technical College Cook County Workforce Development Center Library</t>
  </si>
  <si>
    <t>1676 North Elm Street, Sparks, Georgia 31647</t>
  </si>
  <si>
    <t>Point(-83.435128 31.155953)</t>
  </si>
  <si>
    <t>Wiregrass Georgia Technical College Valdosta Campus Library</t>
  </si>
  <si>
    <t>4089 Val Tech Road, Valdosta, Georgia 31602</t>
  </si>
  <si>
    <t>Point(-83.355158 30.890092)</t>
  </si>
  <si>
    <t>Emory University Archives</t>
  </si>
  <si>
    <t>540 Asbury Circle Atlanta, Georgia, 30322</t>
  </si>
  <si>
    <t>Southeastern Technical College Vidalia Campus Library</t>
  </si>
  <si>
    <t>Room 143, Administration Building, 3001 E 1st Street, Vidalia, GA 30474</t>
  </si>
  <si>
    <t>Point(-82.365954 32.203918)</t>
  </si>
  <si>
    <t>Southeastern Technical College Swainsboro Campus Library</t>
  </si>
  <si>
    <t>Room 2165, Instructional Building, 346 Kite Road, Swainsboro, GA 30401</t>
  </si>
  <si>
    <t>Point(-82.347546 32.596293)</t>
  </si>
  <si>
    <t>Southern Regional Technical College Thomasville Main Campus Library</t>
  </si>
  <si>
    <t>15689 US 19 North, Thomasville, GA 31792</t>
  </si>
  <si>
    <t>Point(-83.950735 30.862243)</t>
  </si>
  <si>
    <t>Southern Regional Technical College Moultrie-Industrial Drive Library</t>
  </si>
  <si>
    <t>361 Industrial Drive, Moultrie, GA 31788</t>
  </si>
  <si>
    <t>Point(-83.750401 31.181386)</t>
  </si>
  <si>
    <t>Southern Regional Technical College Moultrie-Veterans Parkway Library</t>
  </si>
  <si>
    <t>800 Veterans Parkway North, Moultrie, GA, 31788</t>
  </si>
  <si>
    <t>Point(-83.765181 31.198849)</t>
  </si>
  <si>
    <t>West Georgia Technical College Mary McClung Library</t>
  </si>
  <si>
    <t>176 Murphy Campus Boulevard, Waco, GA 30182</t>
  </si>
  <si>
    <t>Point(-85.183547 33.691703)</t>
  </si>
  <si>
    <t>Columbia County Historical Society</t>
  </si>
  <si>
    <t>Augusta Richmond County Historical Society Inc</t>
  </si>
  <si>
    <t>Point(-82.022718 33.476372)</t>
  </si>
  <si>
    <t>Bonaventure Historical Society</t>
  </si>
  <si>
    <t>Buckhead Heritage Society</t>
  </si>
  <si>
    <t>3180 Mathieson Drive, Suite 200, Atlanta, GA 30305</t>
  </si>
  <si>
    <t>Point(-84.3775 33.841774)</t>
  </si>
  <si>
    <t>Byron Herbert Reece Society</t>
  </si>
  <si>
    <t>8552 Gainesville Highway, Blairsville, GA 30512</t>
  </si>
  <si>
    <t>Point(-83.909763 34.780312)</t>
  </si>
  <si>
    <t>Griffin-Spalding Archives</t>
  </si>
  <si>
    <t>143 North Hill Street, Griffin, GA 30223</t>
  </si>
  <si>
    <t>Point(-84.264234 33.25025)</t>
  </si>
  <si>
    <t>Clermont Historical Society Inc.</t>
  </si>
  <si>
    <t>Echols County Historical Society</t>
  </si>
  <si>
    <t>131 Tillman Lane, Statenville, GA 31648</t>
  </si>
  <si>
    <t>Point(-83.11218 30.650314)</t>
  </si>
  <si>
    <t>Euharlee Historical Society</t>
  </si>
  <si>
    <t>Evans County Historical Society</t>
  </si>
  <si>
    <t>Point(-81.916298 32.161342)</t>
  </si>
  <si>
    <t>Flannery O'Connor Home Foundation Inc.</t>
  </si>
  <si>
    <t>Friends of Towns Bluff and Heritage Center</t>
  </si>
  <si>
    <t>Point(-82.508706 31.948696)</t>
  </si>
  <si>
    <t>Georgia Battlefields Association</t>
  </si>
  <si>
    <t>Georgia Military Officers Association of America</t>
  </si>
  <si>
    <t>659 Calhoun Road, Dahlonega, GA 30533</t>
  </si>
  <si>
    <t>Point(-83.991952 34.519314)</t>
  </si>
  <si>
    <t>Historic Linwood Foundation</t>
  </si>
  <si>
    <t>721 Linwood Boulevard, Columbus, GA 31901</t>
  </si>
  <si>
    <t>Point(-84.983102 32.476265)</t>
  </si>
  <si>
    <t>Historic Rural Churches of Georgia</t>
  </si>
  <si>
    <t>1185 Springdale Road NE, Atlanta, GA 30306</t>
  </si>
  <si>
    <t>Point(-84.335577 33.78728)</t>
  </si>
  <si>
    <t>Lanier County Historical Society Inc.</t>
  </si>
  <si>
    <t>49 West Main Street, Lakeland, GA 31635</t>
  </si>
  <si>
    <t>Point(-83.074982 31.040895)</t>
  </si>
  <si>
    <t>Marble Valley Friends</t>
  </si>
  <si>
    <t>5600 Highway 53 East, Tate, GA 30177</t>
  </si>
  <si>
    <t>Point(-84.380728 34.418045)</t>
  </si>
  <si>
    <t>Metropolitan Planning Commission</t>
  </si>
  <si>
    <t>110 East State Street, Savannah, GA 31401</t>
  </si>
  <si>
    <t>Point(-81.090585 32.077932)</t>
  </si>
  <si>
    <t>Richmond Hill Historical Society</t>
  </si>
  <si>
    <t>11460 Ford Avenue, Richmond Hill, GA 31324</t>
  </si>
  <si>
    <t>Point(-81.297465 31.930373)</t>
  </si>
  <si>
    <t>Screven County History Buffs</t>
  </si>
  <si>
    <t>124 West Telephone Street, Sylvania, GA 30467</t>
  </si>
  <si>
    <t>Point(-81.637439 32.749347)</t>
  </si>
  <si>
    <t>Snellville Historical Society</t>
  </si>
  <si>
    <t>2145 North Road, Snellville, GA 30078</t>
  </si>
  <si>
    <t>Point(-84.016059 33.863954)</t>
  </si>
  <si>
    <t>Solomon's Lodge No. 1 F. &amp; A.M.</t>
  </si>
  <si>
    <t>100 East Bay Street, Savannah, GA 31401</t>
  </si>
  <si>
    <t>Point(-81.08983 32.081217)</t>
  </si>
  <si>
    <t>Stone Rangers Inc.</t>
  </si>
  <si>
    <t>6760 Gaines Ferry Road, Flowery Branch, GA 30542</t>
  </si>
  <si>
    <t>Point(-83.983481 34.183356)</t>
  </si>
  <si>
    <t>Tattnall County Archives</t>
  </si>
  <si>
    <t>111 North Main Street, Reidsville, GA 30453</t>
  </si>
  <si>
    <t>Point(-82.119296 32.086746)</t>
  </si>
  <si>
    <t>Wilkinson County Historical Society</t>
  </si>
  <si>
    <t>Susie King Taylor Women's Institute and Ecology Center</t>
  </si>
  <si>
    <t>226 Gloucester Drive, Midway, GA 31320</t>
  </si>
  <si>
    <t>Point(-81.438139 31.797817)</t>
  </si>
  <si>
    <t>English Avenue School</t>
  </si>
  <si>
    <t>627 English Ave NW, Atlanta, GA 30318</t>
  </si>
  <si>
    <t>Point(-84.412936 33.771685)</t>
  </si>
  <si>
    <t>White County History Museum</t>
  </si>
  <si>
    <t>59 S Main St A, Cleveland, GA 30528</t>
  </si>
  <si>
    <t>William S. Smith Library</t>
  </si>
  <si>
    <t>Point(-82.854513 31.497798)</t>
  </si>
  <si>
    <t>Heritage Emergency Response Alliance</t>
  </si>
  <si>
    <t>Savannah Heritage Emergency Response</t>
  </si>
  <si>
    <t>Georgia Historical Records Advisory Council</t>
  </si>
  <si>
    <t>Performing Arts Readiness</t>
  </si>
  <si>
    <t>1438 West Peachtree Street NW, Suite 150, Atlanta, GA 30309</t>
  </si>
  <si>
    <t>University of North Georgia Cumming Library</t>
  </si>
  <si>
    <t>300 Aquatic Circle, Cumming, GA 30040</t>
  </si>
  <si>
    <t>Point(-84.108551 34.224115)</t>
  </si>
  <si>
    <t>Milner Community Library</t>
  </si>
  <si>
    <t>159 Main Street, Milner, GA 30257</t>
  </si>
  <si>
    <t>Point(-84.195869399 33.115615986)</t>
  </si>
  <si>
    <t>Reynold's Mansion on Sapelo Island</t>
  </si>
  <si>
    <t>1100 Autobahn, Sapelo Island, GA 31327</t>
  </si>
  <si>
    <t>Point(-81.276666 31.398116)</t>
  </si>
  <si>
    <t>Hardman Farm State Historic Site</t>
  </si>
  <si>
    <t>143 Highway 17, Sautee Nacoochee, Georgia 30571</t>
  </si>
  <si>
    <t>Point(-83.708326 34.685018)</t>
  </si>
  <si>
    <t>Allatoona Pass Battlefield</t>
  </si>
  <si>
    <t>50 Lodge Road, Souteast Acworth, GA 30121</t>
  </si>
  <si>
    <t>Point(-84.714774 34.113522)</t>
  </si>
  <si>
    <t>Griswoldville Battlefield</t>
  </si>
  <si>
    <t>Griswoldville Historic Battlefield, Macon, GA 31217</t>
  </si>
  <si>
    <t>Point(-83.459822 32.869363)</t>
  </si>
  <si>
    <t>Resaca Battlefield Historic State</t>
  </si>
  <si>
    <t>183 Resaca Lafayette Road Northwest, Resaca, GA 30735</t>
  </si>
  <si>
    <t>Point(-84.953473 34.576606)</t>
  </si>
  <si>
    <t>Woodbine Public Library</t>
  </si>
  <si>
    <t>Point(-81.721882 30.962447)</t>
  </si>
  <si>
    <t>Livingston Library</t>
  </si>
  <si>
    <t>315 Shorter Avenue NW, Rome, GA 30165</t>
  </si>
  <si>
    <t>Point(-85.195894 34.259039)</t>
  </si>
  <si>
    <t>Conyers Rockdale Council for the Arts</t>
  </si>
  <si>
    <t>910 Center Street Northeast, Conyers, GA 30012</t>
  </si>
  <si>
    <t>Point(-84.018022 33.667123)</t>
  </si>
  <si>
    <t>Fulton County Arts Council</t>
  </si>
  <si>
    <t>Point(-84.391446 33.751441)</t>
  </si>
  <si>
    <t>High Museum of Art</t>
  </si>
  <si>
    <t>1280 Peachtree Street NE, Atlanta, GA 30309</t>
  </si>
  <si>
    <t>Point(-84.385566 33.790047)</t>
  </si>
  <si>
    <t>Point(-84.385552 33.790063)</t>
  </si>
  <si>
    <t>David J. Sencer CDC Museum</t>
  </si>
  <si>
    <t>1600 Clifton Road NE, Atlanta, GA 30329</t>
  </si>
  <si>
    <t>Point(-84.327064 33.798263)</t>
  </si>
  <si>
    <t>Adam Brinson Historical Society</t>
  </si>
  <si>
    <t>304 North College Street, Twin City, GA 30471</t>
  </si>
  <si>
    <t>Point(-82.152876 32.581399)</t>
  </si>
  <si>
    <t>Altamaha Heritage Center</t>
  </si>
  <si>
    <t>134 NW Broad St, Lyons, GA, 30436, USA</t>
  </si>
  <si>
    <t>Point(-82.322885 32.204254)</t>
  </si>
  <si>
    <t>American Society for the History of Rhetoric</t>
  </si>
  <si>
    <t>1220 Crabapple Circle, Watkinsville, GA 30677</t>
  </si>
  <si>
    <t>Point(-83.455484 33.854591)</t>
  </si>
  <si>
    <t>Ames Society</t>
  </si>
  <si>
    <t>1660 Jennings Mill Road, Bogart, GA 30677</t>
  </si>
  <si>
    <t>Point(-83.459064 33.921687)</t>
  </si>
  <si>
    <t>Anne Frank in the World</t>
  </si>
  <si>
    <t>5920 Roswell Road, Suite A-209, Sandy Springs, GA 30328</t>
  </si>
  <si>
    <t>Point(-84.381073 33.916549)</t>
  </si>
  <si>
    <t>Army Aviation Heritage Foundation and Museum</t>
  </si>
  <si>
    <t>506 Speedway Boulevard, Hampton, GA 30228</t>
  </si>
  <si>
    <t>Point(-84.326381 33.388713)</t>
  </si>
  <si>
    <t>Augusta International Raceway Preservation Society</t>
  </si>
  <si>
    <t>Aviation History &amp; Technology Center</t>
  </si>
  <si>
    <t>555 Perrin Road, Marietta, GA 30060</t>
  </si>
  <si>
    <t>Point(-84.538416 33.932046)</t>
  </si>
  <si>
    <t>Baptist History and Heritage Society</t>
  </si>
  <si>
    <t>151 Broadleaf Drive, Macon, GA 31210</t>
  </si>
  <si>
    <t>Point(-83.754249 32.888369)</t>
  </si>
  <si>
    <t>Old Jail Museum &amp; Archives</t>
  </si>
  <si>
    <t>326 Thomaston Street, Barnesville, GA 30204</t>
  </si>
  <si>
    <t>Point(-84.155753 33.052384)</t>
  </si>
  <si>
    <t>Barrow Preservation Society Inc</t>
  </si>
  <si>
    <t>Biblical History Center</t>
  </si>
  <si>
    <t>130 Gordon Commercial Drive, LaGrange, GA 30240</t>
  </si>
  <si>
    <t>Point(-85.06764 33.019999)</t>
  </si>
  <si>
    <t>Blackstock Southern Heritage Agricultural Museum</t>
  </si>
  <si>
    <t>260 Lance Road NE, Calhoun, GA 30701</t>
  </si>
  <si>
    <t>Point(-84.858193 34.510617)</t>
  </si>
  <si>
    <t>Bremen Textile and Railroad Museum</t>
  </si>
  <si>
    <t>232 Tallapoosa Street, Bremen, GA 30110</t>
  </si>
  <si>
    <t>Point(-85.146534 33.721419)</t>
  </si>
  <si>
    <t>Brown Park</t>
  </si>
  <si>
    <t>358 West Atlanta Street, Marietta, GA 30060</t>
  </si>
  <si>
    <t>Point(-84.549256 33.947054)</t>
  </si>
  <si>
    <t>Brumby Hall &amp; Gardens</t>
  </si>
  <si>
    <t>500 Powder Springs Street, Marietta, GA 30064</t>
  </si>
  <si>
    <t>Point(-84.553921 33.943037)</t>
  </si>
  <si>
    <t>Buckhead Conservancy</t>
  </si>
  <si>
    <t>556 Peachtree Battle Avenue, Atlanta, GA 30305</t>
  </si>
  <si>
    <t>Point(-84.406314 33.822238)</t>
  </si>
  <si>
    <t>Air Acres Museum</t>
  </si>
  <si>
    <t>376 Air Acres Way, Woodstock, GA 30188</t>
  </si>
  <si>
    <t>Point(-84.44756 34.105941)</t>
  </si>
  <si>
    <t>Airborne Historical Association Inc</t>
  </si>
  <si>
    <t>424 Dalton Drive, Columbus, GA 31904</t>
  </si>
  <si>
    <t>Point(-84.990897 32.553458)</t>
  </si>
  <si>
    <t>Burke County Museum</t>
  </si>
  <si>
    <t>536 South Liberty Street, Waynesboro, GA 30830</t>
  </si>
  <si>
    <t>Point(-82.015106847 33.089247443)</t>
  </si>
  <si>
    <t>Byron Hebert Reece Society</t>
  </si>
  <si>
    <t>Point(-83.909792 34.780301)</t>
  </si>
  <si>
    <t>C.T. and Octavia Vivian Museum and Archives</t>
  </si>
  <si>
    <t>Cassville Historical Society</t>
  </si>
  <si>
    <t>Catoosa Citizens' &amp; Veterans' Memorial</t>
  </si>
  <si>
    <t>260 Catoosa Circle, Ringgold, GA 30736</t>
  </si>
  <si>
    <t>Point(-85.182977 34.937534)</t>
  </si>
  <si>
    <t>Celtic Collection Program</t>
  </si>
  <si>
    <t>141 Evans Road, Milner, GA 30257</t>
  </si>
  <si>
    <t>Point(-84.177442 33.145693)</t>
  </si>
  <si>
    <t>Center For The Study of African Diaspora Museums &amp; Community</t>
  </si>
  <si>
    <t>Chattahoochee County Historic Preservation Society</t>
  </si>
  <si>
    <t>113 Sandy Circle, Cusseta, GA 31805</t>
  </si>
  <si>
    <t>Point(-84.772366 32.301677)</t>
  </si>
  <si>
    <t>Columbus Black History Museum</t>
  </si>
  <si>
    <t>315 8th Street, Columbus, GA 31901</t>
  </si>
  <si>
    <t>Point(-84.988195 32.461178)</t>
  </si>
  <si>
    <t>Commemorative Air Force Airbase Georgia Warbird Museum</t>
  </si>
  <si>
    <t>1200 Echo Ct., Peachtree City, GA, GA 30269</t>
  </si>
  <si>
    <t>Point(-84.5662206 33.356895)</t>
  </si>
  <si>
    <t>Concord Covered Bridge Historic District</t>
  </si>
  <si>
    <t>188 Covered Bridge Drive SW, Smyrna, GA 30082</t>
  </si>
  <si>
    <t>Point(-84.556463 33.846283)</t>
  </si>
  <si>
    <t>Cook County Museum and Library</t>
  </si>
  <si>
    <t>Point(-83.424035 31.137748)</t>
  </si>
  <si>
    <t>Coweta County African American Heritage Museum</t>
  </si>
  <si>
    <t>92 Farmer Street, Newnan, GA 30263</t>
  </si>
  <si>
    <t>Point(-84.79226 33.376838)</t>
  </si>
  <si>
    <t>Oxbow Meadows Environmental Learning Center</t>
  </si>
  <si>
    <t>3535 South Lumpkin Road, Columbus, GA 31903</t>
  </si>
  <si>
    <t>Point(-84.958836 32.386089)</t>
  </si>
  <si>
    <t>Cumberland Island Museum</t>
  </si>
  <si>
    <t>Woodstock Visitors Center at Dean's Store</t>
  </si>
  <si>
    <t>8588 Main Street, Woodstock, GA 30188</t>
  </si>
  <si>
    <t>Point(-84.519662 34.10116)</t>
  </si>
  <si>
    <t>Discovering Stone Mountain Museum at Memorial Hall</t>
  </si>
  <si>
    <t>Point(-84.143094 33.811954)</t>
  </si>
  <si>
    <t>Dodds Boys</t>
  </si>
  <si>
    <t>2931 Paces Ferry Rd Se Ste 150, Atlanta, GA 30339-3735</t>
  </si>
  <si>
    <t>Dodge Historical Society</t>
  </si>
  <si>
    <t>5315 Eastman Street, Eastman, GA 31023</t>
  </si>
  <si>
    <t>Point(-83.180402 32.200452)</t>
  </si>
  <si>
    <t>Eighth Air Force Historical Society</t>
  </si>
  <si>
    <t>68 Kimberlys Way, Jasper, GA 30143</t>
  </si>
  <si>
    <t>Point(-84.493029 34.420734)</t>
  </si>
  <si>
    <t>Ezekiel Harris Historic House</t>
  </si>
  <si>
    <t>1822 Broad Street, Augusta, GA 30904</t>
  </si>
  <si>
    <t>Point(-81.994565 33.484598)</t>
  </si>
  <si>
    <t>Fannin County Heritage</t>
  </si>
  <si>
    <t>411 West 1st Street, Blue Ridge, GA 30513</t>
  </si>
  <si>
    <t>Point(-84.324971 34.867227)</t>
  </si>
  <si>
    <t>Flat Rock Archives</t>
  </si>
  <si>
    <t>3956 Crossvale Road, Stonecrest, GA 30038</t>
  </si>
  <si>
    <t>Point(-84.161711 33.664835)</t>
  </si>
  <si>
    <t>Flint River Farms School Preservation Society</t>
  </si>
  <si>
    <t>Highway 224 East, Montezuma, GA 31063</t>
  </si>
  <si>
    <t>Point(-83.925219 32.292215)</t>
  </si>
  <si>
    <t>African-American Historical Association of Newton County</t>
  </si>
  <si>
    <t>400 Ridge Avenue, Covington, GA 30016</t>
  </si>
  <si>
    <t>Point(-83.901566 33.553005)</t>
  </si>
  <si>
    <t>Fort Gaines Historical Society</t>
  </si>
  <si>
    <t>Georgia Retired Educators Museum</t>
  </si>
  <si>
    <t>4311 Falcon Parkway, Flowery Branch, GA 30542</t>
  </si>
  <si>
    <t>Point(-83.896677 34.190948)</t>
  </si>
  <si>
    <t>Georgia State Cotton Museum</t>
  </si>
  <si>
    <t>1321 East Union Street, Vienna, GA 31092</t>
  </si>
  <si>
    <t>Point(-83.77082 32.087217)</t>
  </si>
  <si>
    <t>Georgia State Patrol Historical Society</t>
  </si>
  <si>
    <t>959 United Ave SE, Atlanta, GA 30316</t>
  </si>
  <si>
    <t>Point(-84.355913 33.726055)</t>
  </si>
  <si>
    <t>Georgia Writers Museum</t>
  </si>
  <si>
    <t>109 South Jefferson Avenue, Eatonton, GA 31024</t>
  </si>
  <si>
    <t>Point(-83.388231 33.326334)</t>
  </si>
  <si>
    <t>Gertrude Ma Rainey House &amp; Blues Museum</t>
  </si>
  <si>
    <t>805 5th Avenue, Columbus, GA 31901</t>
  </si>
  <si>
    <t>Point(-84.986674 32.461404)</t>
  </si>
  <si>
    <t>Gone with the Wind Museum</t>
  </si>
  <si>
    <t>472 Powder Springs Street, Marietta, GA 30064</t>
  </si>
  <si>
    <t>Point(-84.552155 33.94378)</t>
  </si>
  <si>
    <t>Grady County History Museum</t>
  </si>
  <si>
    <t>Point(-84.208305 30.877479)</t>
  </si>
  <si>
    <t>Griffin Museum</t>
  </si>
  <si>
    <t>Point(-84.2643 33.250242)</t>
  </si>
  <si>
    <t>Grovetown Museum</t>
  </si>
  <si>
    <t>106 East Robinson Avenue, Grovetown, GA 30813</t>
  </si>
  <si>
    <t>Point(-82.199843 33.451094)</t>
  </si>
  <si>
    <t>Habersham County Veterans Wall of Honor</t>
  </si>
  <si>
    <t>668 US-441 Business, Cornelia, GA 30531</t>
  </si>
  <si>
    <t>Point(-83.532506 34.533498)</t>
  </si>
  <si>
    <t>Haralson County Veterans Memorial Park</t>
  </si>
  <si>
    <t>100 Taliaferro Street, Tallapoosa, GA 30176</t>
  </si>
  <si>
    <t>Point(-85.290413 33.748861)</t>
  </si>
  <si>
    <t>Hebron Historical Society of Banks County Georgia</t>
  </si>
  <si>
    <t>5940 Bold Springs Road, Commerce, GA 30530</t>
  </si>
  <si>
    <t>Point(-83.363955 34.298257)</t>
  </si>
  <si>
    <t>Heritage Park Museum</t>
  </si>
  <si>
    <t>101 Lake Dow Road, McDonough, GA 30253</t>
  </si>
  <si>
    <t>Point(-84.120384 33.4414)</t>
  </si>
  <si>
    <t>Historic George Washington Carver Heights Subdivision Preservation</t>
  </si>
  <si>
    <t>925 Charleston Avenue, Columbus, GA 31906</t>
  </si>
  <si>
    <t>Point(-84.946471 32.463601)</t>
  </si>
  <si>
    <t>Historic District Preservation Society</t>
  </si>
  <si>
    <t>Norcross Historic Preservation Commission</t>
  </si>
  <si>
    <t>65 Lawrenceville Street, Norcross, GA 30071</t>
  </si>
  <si>
    <t>Point(-84.211704 33.942859)</t>
  </si>
  <si>
    <t>Hiram Rosenwald School Museum</t>
  </si>
  <si>
    <t>732 Hiram Douglasville Highway, Hiram, GA 30141</t>
  </si>
  <si>
    <t>Point(-84.75989 33.881475)</t>
  </si>
  <si>
    <t>Historic Oglethorpe County Inc</t>
  </si>
  <si>
    <t>Historical &amp; Preservation Commission of Centerville GA</t>
  </si>
  <si>
    <t>100 Linda Drive, Centerville, GA 31028</t>
  </si>
  <si>
    <t>Point(-83.683188 32.620888)</t>
  </si>
  <si>
    <t>Stately Oaks Historic Site</t>
  </si>
  <si>
    <t>100 Carriage Lane, Jonesboro, GA 30237</t>
  </si>
  <si>
    <t>Point(-84.350303 33.51539)</t>
  </si>
  <si>
    <t>Imagination Station Children's Museum of Augusta</t>
  </si>
  <si>
    <t>965 Hickman Road, Augusta, GA 30904</t>
  </si>
  <si>
    <t>Point(-82.010997 33.473613)</t>
  </si>
  <si>
    <t>Jim-Ree African American Museum</t>
  </si>
  <si>
    <t>24 South Oliver Street, Elberton, GA 30635</t>
  </si>
  <si>
    <t>Point(-82.868789 34.109605)</t>
  </si>
  <si>
    <t>Joel Chandler Harris Association</t>
  </si>
  <si>
    <t>1050 Ralph David Abernathy Boulevard, Atlanta, GA 30310</t>
  </si>
  <si>
    <t>Jones County History &amp; Heritage</t>
  </si>
  <si>
    <t>Jonesboro Fire House Museum</t>
  </si>
  <si>
    <t>103 West Mill Street, Jonesboro, GA 30236</t>
  </si>
  <si>
    <t>Point(-84.355306 33.52124)</t>
  </si>
  <si>
    <t>The Leon &amp; Rachel Gathany Museum of Natural History</t>
  </si>
  <si>
    <t>1319 Falls Road, Toccoa, GA 30577</t>
  </si>
  <si>
    <t>Point(-83.36237 34.593204)</t>
  </si>
  <si>
    <t>Loudermilk Boarding House Museum</t>
  </si>
  <si>
    <t>271 Foreacre Street, Cornelia, GA 30531</t>
  </si>
  <si>
    <t>Point(-83.52436 34.511672)</t>
  </si>
  <si>
    <t>Monroe Museum</t>
  </si>
  <si>
    <t>227 South Broad Street, Monroe, GA 30655</t>
  </si>
  <si>
    <t>Point(-83.712483 33.792784)</t>
  </si>
  <si>
    <t>Morgan County Historical Society</t>
  </si>
  <si>
    <t>Point(-83.469994 33.594227)</t>
  </si>
  <si>
    <t>Museum of Buford</t>
  </si>
  <si>
    <t>2200 Buford Highway, Suite 108, Buford, GA 30518</t>
  </si>
  <si>
    <t>Point(-83.996365 34.114736)</t>
  </si>
  <si>
    <t>Marble Museum</t>
  </si>
  <si>
    <t>1985 Kennesaw Avenue, Nelson, GA 30151</t>
  </si>
  <si>
    <t>Point(-84.372564 34.382087)</t>
  </si>
  <si>
    <t>Isle of Hope Historical Association</t>
  </si>
  <si>
    <t>31 Island Drive, Savannah, GA 31406</t>
  </si>
  <si>
    <t>Point(-81.048003 31.980457)</t>
  </si>
  <si>
    <t>Historic Middle Georgia</t>
  </si>
  <si>
    <t>Mighty 8th Air Force Historical Society Georgia Chapter</t>
  </si>
  <si>
    <t>North Georgia Live Steamers</t>
  </si>
  <si>
    <t>1632 Centennial Olympic Parkway NE, Conyers, GA, 30013</t>
  </si>
  <si>
    <t>Point(-83.941282 33.671734)</t>
  </si>
  <si>
    <t>Gold Cross EMS Ambulance Collection</t>
  </si>
  <si>
    <t>4328 Wheeler Road, Martinez, GA 30907</t>
  </si>
  <si>
    <t>Point(-82.126543 33.487357)</t>
  </si>
  <si>
    <t>Old South Museum &amp; Agriculture Learning Center</t>
  </si>
  <si>
    <t>Pleasant Valley Road, Woodland, GA 31836</t>
  </si>
  <si>
    <t>Point(-84.563309 32.793809)</t>
  </si>
  <si>
    <t>Ogeechee River Car Museum</t>
  </si>
  <si>
    <t>1280 Jewell Road, Jewell, GA 31045</t>
  </si>
  <si>
    <t>Point(-82.791523 33.309261)</t>
  </si>
  <si>
    <t>Pasaquan Preservation Society</t>
  </si>
  <si>
    <t>238 Eddie Martin Road, Buena Vista, GA 31803</t>
  </si>
  <si>
    <t>Point(-84.581459 32.346368)</t>
  </si>
  <si>
    <t>Patsiliga Museum</t>
  </si>
  <si>
    <t>Point(-84.428069 32.611505)</t>
  </si>
  <si>
    <t>Peach County Historical Society</t>
  </si>
  <si>
    <t>201 South Miller Street, Fort Valley, GA 31030</t>
  </si>
  <si>
    <t>Point(-83.889499 32.55265)</t>
  </si>
  <si>
    <t>Oconee County Historical Society</t>
  </si>
  <si>
    <t>North Alexander School</t>
  </si>
  <si>
    <t>313B North Alexander Avenue, Washington, GA 30673</t>
  </si>
  <si>
    <t>Point(-82.735522 33.740615)</t>
  </si>
  <si>
    <t>Perry Area Historical Society</t>
  </si>
  <si>
    <t>901 Northside Drive, Perry, GA 31069</t>
  </si>
  <si>
    <t>Point(-83.734442 32.46083)</t>
  </si>
  <si>
    <t>Pike County Historical Society</t>
  </si>
  <si>
    <t>Pike Historic Preservation</t>
  </si>
  <si>
    <t>416 Thomaston Street, Zebulon, GA 30295</t>
  </si>
  <si>
    <t>Point(-84.342963 33.102532)</t>
  </si>
  <si>
    <t>Road To Tara Museum</t>
  </si>
  <si>
    <t>104 North Main Street, Jonesboro, GA 30236</t>
  </si>
  <si>
    <t>Point(-84.354365 33.521498)</t>
  </si>
  <si>
    <t>Regional African American Museum of Northeast Georgia</t>
  </si>
  <si>
    <t>Point(-83.529987 34.513491)</t>
  </si>
  <si>
    <t>Seabrook Village and Living History Museum</t>
  </si>
  <si>
    <t>660 Trade Hill Road, Midway, GA 31320</t>
  </si>
  <si>
    <t>Point(-81.317782 31.744085)</t>
  </si>
  <si>
    <t>Seven Springs Historical Society</t>
  </si>
  <si>
    <t>Soul Food Museum</t>
  </si>
  <si>
    <t>187 Edgewood Avenue SE, Suite 305, Atlanta, GA 30303</t>
  </si>
  <si>
    <t>Point(-84.381425 33.754269)</t>
  </si>
  <si>
    <t>South Fork Conservancy</t>
  </si>
  <si>
    <t>Ponce De Leon Ave NE, Atlanta, GA 30307</t>
  </si>
  <si>
    <t>Point(-84.328387 33.773385)</t>
  </si>
  <si>
    <t>Southern Museum of Music</t>
  </si>
  <si>
    <t>265 Park Avenue W NW, Atlanta, GA 30313</t>
  </si>
  <si>
    <t>Point(-84.394531 33.761823)</t>
  </si>
  <si>
    <t>Stone Mountain Historic Society</t>
  </si>
  <si>
    <t>1036 Ridge Avenue, Stone Mountain, GA 30083</t>
  </si>
  <si>
    <t>Point(-84.172742 33.80916)</t>
  </si>
  <si>
    <t>Strozier Heritage Society</t>
  </si>
  <si>
    <t>161 Farmington Drive, Woodstock, GA 30188</t>
  </si>
  <si>
    <t>Teaching Museum South</t>
  </si>
  <si>
    <t>689 North Avenue, Hapeville, GA 30354</t>
  </si>
  <si>
    <t>Point(-84.411227 33.665595)</t>
  </si>
  <si>
    <t>Tailfin Automotive Museum</t>
  </si>
  <si>
    <t>4016 Brantley Drive, Austell, GA 30106</t>
  </si>
  <si>
    <t>Point(-84.579169 33.852756)</t>
  </si>
  <si>
    <t>Walker County African American Historical and Alumni Association</t>
  </si>
  <si>
    <t>Veterans of All Wars Museum</t>
  </si>
  <si>
    <t>71 Red Belt Road, Chickamauga, GA 30707</t>
  </si>
  <si>
    <t>Point(-85.266722 34.883518)</t>
  </si>
  <si>
    <t>Tunnel Hill Historical Foundation</t>
  </si>
  <si>
    <t>Weinman William Mineral Gallery</t>
  </si>
  <si>
    <t>Point(-84.770154 34.241439)</t>
  </si>
  <si>
    <t>West Georgia Textile Heritage Trail</t>
  </si>
  <si>
    <t>Point(-85.099302 33.572973)</t>
  </si>
  <si>
    <t>Friends of Wick's Tavern</t>
  </si>
  <si>
    <t>Boyhood Home of President Woodrow Wilson</t>
  </si>
  <si>
    <t>419 Seventh Street, Augusta, GA 30901</t>
  </si>
  <si>
    <t>Point(-81.965091 33.471762)</t>
  </si>
  <si>
    <t>African American Alliance Inc</t>
  </si>
  <si>
    <t>Point(-84.792222 33.376836)</t>
  </si>
  <si>
    <t>C4 Atlanta</t>
  </si>
  <si>
    <t>132 Mitchell Street SW, Floor 3, Atlanta, GA 30303</t>
  </si>
  <si>
    <t>Point(-84.392359 33.750423)</t>
  </si>
  <si>
    <t>Georgia Artists with Disabilities</t>
  </si>
  <si>
    <t>190 Autumn Court, Covington, GA 30016</t>
  </si>
  <si>
    <t>Point(-83.998503 33.500533)</t>
  </si>
  <si>
    <t>Georgia Alliance for Arts Education</t>
  </si>
  <si>
    <t>Georgia Art Education Association</t>
  </si>
  <si>
    <t>Georgia Music Educators Association</t>
  </si>
  <si>
    <t>Atlanta Symphony Orchestra for Educators</t>
  </si>
  <si>
    <t>Point(-84.384656 33.789395)</t>
  </si>
  <si>
    <t>Georgia Poetry Society</t>
  </si>
  <si>
    <t>263 Lucy Lane, Dahlonega, GA 30533</t>
  </si>
  <si>
    <t>Point(-83.990774 34.62953)</t>
  </si>
  <si>
    <t>Georgia Music Foundation</t>
  </si>
  <si>
    <t>560 Arlington Place, Macon, Georgia 31201</t>
  </si>
  <si>
    <t>Point(-83.640808 32.838797)</t>
  </si>
  <si>
    <t>Fox Theater Institute</t>
  </si>
  <si>
    <t>Point(-84.38565 33.772631)</t>
  </si>
  <si>
    <t>Georgia Theatre Conference</t>
  </si>
  <si>
    <t>Point(-83.794463 31.172359)</t>
  </si>
  <si>
    <t>Georgia Watercolor Society</t>
  </si>
  <si>
    <t>South Cobb Arts Alliance</t>
  </si>
  <si>
    <t>Artworks Gwinnett</t>
  </si>
  <si>
    <t>6500 Sugarloaf Parkway, Duluth, GA 30097</t>
  </si>
  <si>
    <t>Point(-84.091723 33.992456)</t>
  </si>
  <si>
    <t>Athens Area Arts Council</t>
  </si>
  <si>
    <t>Greater Augusta Arts Council</t>
  </si>
  <si>
    <t>1301 Greene Street, Augusta, GA 30904</t>
  </si>
  <si>
    <t>Point(-81.976452 33.47741)</t>
  </si>
  <si>
    <t>Macon Arts Alliance</t>
  </si>
  <si>
    <t>486 First Street, Macon, GA 31201</t>
  </si>
  <si>
    <t>Point(-83.63118 32.836338)</t>
  </si>
  <si>
    <t>Columbus Cultural Arts Alliance</t>
  </si>
  <si>
    <t>900 Front Avenue, Columbus, GA 31901</t>
  </si>
  <si>
    <t>Point(-84.994308 32.463096)</t>
  </si>
  <si>
    <t>ABAC Arts Connection</t>
  </si>
  <si>
    <t>ABAC 45, 2802 Moore Highway, Tifton, GA 31793</t>
  </si>
  <si>
    <t>Point(-83.528439 31.481946)</t>
  </si>
  <si>
    <t>Golden Isles Arts and Humanities Association</t>
  </si>
  <si>
    <t>1530 Newcastle Street, Brunswick, GA 31520</t>
  </si>
  <si>
    <t>Point(-81.49553 31.15035)</t>
  </si>
  <si>
    <t>Glynn Visual Arts</t>
  </si>
  <si>
    <t>106 Island Drive, St Simons Island, GA 31522</t>
  </si>
  <si>
    <t>Point(-81.385234 31.146793)</t>
  </si>
  <si>
    <t>Colquitt Miller Arts Council</t>
  </si>
  <si>
    <t>158 East Main Street, Colquitt, GA 39837</t>
  </si>
  <si>
    <t>Point(-84.732441 31.172213)</t>
  </si>
  <si>
    <t>Coca Cola Space Science Center</t>
  </si>
  <si>
    <t>701 Front Avenue, Columbus, GA 31901</t>
  </si>
  <si>
    <t>Point(-84.99526 32.459841)</t>
  </si>
  <si>
    <t>The Arts Council, Inc.</t>
  </si>
  <si>
    <t>331 Spring Street SW, Gainesville, GA 30501</t>
  </si>
  <si>
    <t>Point(-83.828615 34.297837)</t>
  </si>
  <si>
    <t>Historic Norcross Preservation Alliance</t>
  </si>
  <si>
    <t>442 N. PEACHTREE ST., NORCROSS, GA, 30071, USA</t>
  </si>
  <si>
    <t>Point(-84.209163 33.94716)</t>
  </si>
  <si>
    <t>Marti Historical Society</t>
  </si>
  <si>
    <t>2101 Hawthorne Pointe, Marietta, GA 30062</t>
  </si>
  <si>
    <t>Point(-84.430785 34.001132)</t>
  </si>
  <si>
    <t>Noble Hill-Wheeler Memorial Center</t>
  </si>
  <si>
    <t>2361 Joe Frank Harris Parkway NW, Cassville, GA 30123</t>
  </si>
  <si>
    <t>Point(-84.858158 34.246989)</t>
  </si>
  <si>
    <t>Paulding County Genealogical Society</t>
  </si>
  <si>
    <t>Walter F. George Law Office Museum</t>
  </si>
  <si>
    <t>106 4th Street, Vienna, GA 31092</t>
  </si>
  <si>
    <t>Point(-83.793714 32.091698)</t>
  </si>
  <si>
    <t>Wick's Tavern</t>
  </si>
  <si>
    <t>212 W Wilson Street, Villa Rica, GA 30180</t>
  </si>
  <si>
    <t>Point(-84.920984 33.731435)</t>
  </si>
  <si>
    <t>Albany-Dougherty Historic Preservation Commission</t>
  </si>
  <si>
    <t>Point(-84.153258 31.578108)</t>
  </si>
  <si>
    <t>Trap Music Museum</t>
  </si>
  <si>
    <t>630 Travis Street NW, Atlanta, GA 30318</t>
  </si>
  <si>
    <t>Point(-84.408673 33.771795)</t>
  </si>
  <si>
    <t>SCAD FASH Museum of Fashion + Film</t>
  </si>
  <si>
    <t>1600 Peachtree Street NW, Atlanta, GA 30309</t>
  </si>
  <si>
    <t>Point(-84.391256 33.796631)</t>
  </si>
  <si>
    <t>Owens Library</t>
  </si>
  <si>
    <t>121 Jackson Street Building, Athens, GA 30602</t>
  </si>
  <si>
    <t>Point(-83.37297 33.955271)</t>
  </si>
  <si>
    <t>Georgia Military College Augusta Campus Library</t>
  </si>
  <si>
    <t>115 Davis Road, Martinez, GA 30907</t>
  </si>
  <si>
    <t>Point(-82.085477 33.51039)</t>
  </si>
  <si>
    <t>Georgia Military College Columbus Campus Library</t>
  </si>
  <si>
    <t>7300 Blackmon Road, Columbus, GA 31909</t>
  </si>
  <si>
    <t>Point(-84.894472 32.55007)</t>
  </si>
  <si>
    <t>Georgia Military College Fairburn Campus Library</t>
  </si>
  <si>
    <t>320 West Broad Street, Suite 200, Fairburn, GA 30213</t>
  </si>
  <si>
    <t>Point(-84.573148 33.572017)</t>
  </si>
  <si>
    <t>Georgia Military College Fayetteville Campus Library</t>
  </si>
  <si>
    <t>255 Veterans Parkway, Fayatteville, GA 30214</t>
  </si>
  <si>
    <t>Point(-84.51166 33.456658)</t>
  </si>
  <si>
    <t>Georgia Military College Valdosta Campus Library</t>
  </si>
  <si>
    <t>4201 North Forrest Street, Valdosta, GA 31605</t>
  </si>
  <si>
    <t>Point(-83.266995 30.890435)</t>
  </si>
  <si>
    <t>Georgia Military College Warner Robins Campus Library</t>
  </si>
  <si>
    <t>801 Duke Avenue, Warner Robins, GA 31093</t>
  </si>
  <si>
    <t>Point(-83.610165 32.625151)</t>
  </si>
  <si>
    <t>Burnt Fort Chapel and Cemetery</t>
  </si>
  <si>
    <t>Point(-81.884299 30.947686)</t>
  </si>
  <si>
    <t>Concord Woolen Mills</t>
  </si>
  <si>
    <t>Heritage Park Trail, Smyrna, GA 30082</t>
  </si>
  <si>
    <t>Point(-84.556188 33.849509)</t>
  </si>
  <si>
    <t>Battle of Ruff's Mill</t>
  </si>
  <si>
    <t>10 Concord Rd SW, Smyrna, GA 30082</t>
  </si>
  <si>
    <t>Point(-84.558642 33.849403)</t>
  </si>
  <si>
    <t>122 Main Street, Eastman, GA 31023</t>
  </si>
  <si>
    <t>Point(-83.17667 32.198399)</t>
  </si>
  <si>
    <t>Homer M. Stark Law Library</t>
  </si>
  <si>
    <t>75 Langley Drive, Lawrenceville, GA 30046</t>
  </si>
  <si>
    <t>Point(-83.993219 33.951464)</t>
  </si>
  <si>
    <t>American Prohibition Museum</t>
  </si>
  <si>
    <t>209 W. St. Julian Street, Savannah GA 31401</t>
  </si>
  <si>
    <t>Point(-81.094624 32.080557)</t>
  </si>
  <si>
    <t>Bloomingdale History Museum and Visitor's Center</t>
  </si>
  <si>
    <t>205 US-80, Bloomingdale, GA 31302</t>
  </si>
  <si>
    <t>Point(-81.297368 32.131316)</t>
  </si>
  <si>
    <t>Harper Fowlkes House</t>
  </si>
  <si>
    <t>230 Barnard Street, Savannah GA 31401</t>
  </si>
  <si>
    <t>Point(-81.094826 32.07603)</t>
  </si>
  <si>
    <t>Berrien House</t>
  </si>
  <si>
    <t>322 E Broughton Street, Savannah, GA 31401</t>
  </si>
  <si>
    <t>Point(-81.087766 32.07803)</t>
  </si>
  <si>
    <t>Houston Praise House</t>
  </si>
  <si>
    <t>8000 GA-21, Port Wentworth, GA 31407</t>
  </si>
  <si>
    <t>Point(-81.196533 32.219389)</t>
  </si>
  <si>
    <t>Jepson House</t>
  </si>
  <si>
    <t>104 W Gaston Street, Savannah, GA 31401</t>
  </si>
  <si>
    <t>Point(-81.096418 32.070832)</t>
  </si>
  <si>
    <t>Mother Matilda Beasley Home</t>
  </si>
  <si>
    <t>500 E. Broad Street, Savannah, GA 31401</t>
  </si>
  <si>
    <t>Point(-81.087285 32.068347)</t>
  </si>
  <si>
    <t>Bloomingdale City Hall</t>
  </si>
  <si>
    <t>8 US-80, Bloomingdale, GA 31302</t>
  </si>
  <si>
    <t>Point(-81.301939 32.133553)</t>
  </si>
  <si>
    <t>Garden City City Hall</t>
  </si>
  <si>
    <t>100 Central Avenue, Garden City, GA 31405</t>
  </si>
  <si>
    <t>Point(-81.205319 32.063643)</t>
  </si>
  <si>
    <t>Pooler City Hall</t>
  </si>
  <si>
    <t>100 SW US HW 80, Pooler, GA 31322</t>
  </si>
  <si>
    <t>Point(-81.249445 32.115657)</t>
  </si>
  <si>
    <t>Port Wentworth City Hall</t>
  </si>
  <si>
    <t>7224 GA Highway 21, Port Wentworth, GA 31407</t>
  </si>
  <si>
    <t>Point(-81.19658 32.19835)</t>
  </si>
  <si>
    <t>Thunderbolt Town Hall</t>
  </si>
  <si>
    <t>2821 River Drive, Thunderbolt, Georgia 31404</t>
  </si>
  <si>
    <t>Point(-81.050922 32.031233)</t>
  </si>
  <si>
    <t>Tybee Island City Hall</t>
  </si>
  <si>
    <t>403 Butler Avenue, Tybee Island, GA 31328</t>
  </si>
  <si>
    <t>Point(-80.842992 32.008697)</t>
  </si>
  <si>
    <t>Chatham County Records Center</t>
  </si>
  <si>
    <t>4225 Augusta Road, Garden City, Georgia 31408</t>
  </si>
  <si>
    <t>Point(-81.15086 32.102478)</t>
  </si>
  <si>
    <t>Roswell Archives and Research Library</t>
  </si>
  <si>
    <t>Roswell Cultural Arts Center, 950 Forrest Street, 2nd floor, Roswell, GA 30075</t>
  </si>
  <si>
    <t>Point(-84.357874 34.023477)</t>
  </si>
  <si>
    <t>Science Commons Branch Library</t>
  </si>
  <si>
    <t>1515 Dickey Drive, Atlanta, GA 30322</t>
  </si>
  <si>
    <t>Point(-84.326775 33.790956)</t>
  </si>
  <si>
    <t>Museum of Technology</t>
  </si>
  <si>
    <t>100 University Pkwy Library Building, Macon, GA 31206</t>
  </si>
  <si>
    <t>Point(-83.733072 32.808358)</t>
  </si>
  <si>
    <t>Power of the Past Museum</t>
  </si>
  <si>
    <t>Thomasville Regional Airport, Thomasville, GA 31757</t>
  </si>
  <si>
    <t>Point(-83.87981 30.898462)</t>
  </si>
  <si>
    <t>Mitchell Young Anderson Museum</t>
  </si>
  <si>
    <t>319 Oak Street, Thomasville, Georgia 31792</t>
  </si>
  <si>
    <t>Point(-83.986042 30.837566)</t>
  </si>
  <si>
    <t>192 Popes Store Road, Ochlocknee, GA 31773</t>
  </si>
  <si>
    <t>Point(-84.160911 30.982842)</t>
  </si>
  <si>
    <t>Fort Frederica Visitor Center</t>
  </si>
  <si>
    <t>Point(-81.389189 31.223386)</t>
  </si>
  <si>
    <t>Fort Pulaski National Monument Visitor Center</t>
  </si>
  <si>
    <t>Point(-80.892722 32.027157)</t>
  </si>
  <si>
    <t>Lunchbox Museum</t>
  </si>
  <si>
    <t>3226 Hamilton Rd., Columbus, GA 31904</t>
  </si>
  <si>
    <t>Point(-84.9794832 32.4943666)</t>
  </si>
  <si>
    <t>2596 Midway Road, Decatur, GA, 30030</t>
  </si>
  <si>
    <t>Point(-84.282952 33.758561)</t>
  </si>
  <si>
    <t>Abel 2</t>
  </si>
  <si>
    <t>964 Ralph David Abernathy Boulevard, Suite C-20, Atlanta, GA 30310</t>
  </si>
  <si>
    <t>Point(-84.419646 33.737721)</t>
  </si>
  <si>
    <t>Acworth Cultural Arts</t>
  </si>
  <si>
    <t>4367 Senator Russell Avenue, Acworth, GA 30101</t>
  </si>
  <si>
    <t>Point(-84.67745 34.06539)</t>
  </si>
  <si>
    <t>AIR Serenbe</t>
  </si>
  <si>
    <t>9110 Selborne Lane, Chattahoochee Hills, GA 30268</t>
  </si>
  <si>
    <t>Point(-84.735883 33.524885)</t>
  </si>
  <si>
    <t>Americus Sumter Arts County Council</t>
  </si>
  <si>
    <t>602 West Forsyth Street, Americus, GA 31709</t>
  </si>
  <si>
    <t>Point(-84.235503 32.073169)</t>
  </si>
  <si>
    <t>AREA</t>
  </si>
  <si>
    <t>2303 Peachtree Road NE, Atlanta, GA 30309</t>
  </si>
  <si>
    <t>Point(-84.379527 33.839653)</t>
  </si>
  <si>
    <t>Art Resource Collective of Savannah</t>
  </si>
  <si>
    <t>Artists' Guild of Columbia County</t>
  </si>
  <si>
    <t>Artportunity Knocks</t>
  </si>
  <si>
    <t>1755 The Exchange Suite 190, Atlanta, GA 30339</t>
  </si>
  <si>
    <t>Point(-84.484442 33.909862)</t>
  </si>
  <si>
    <t>ARTS ATL</t>
  </si>
  <si>
    <t>Engaging Arts</t>
  </si>
  <si>
    <t>ArtsBridge Foundation</t>
  </si>
  <si>
    <t>2800 Cobb Galleria Parkway, Atlanta, GA 30339</t>
  </si>
  <si>
    <t>Point(-84.459106 33.884659)</t>
  </si>
  <si>
    <t>ArtsNow Learning</t>
  </si>
  <si>
    <t>10 Glenlake Parkway, Suite 130, Atlanta, GA 30328</t>
  </si>
  <si>
    <t>Point(-84.361638 33.936055)</t>
  </si>
  <si>
    <t>Artz for the Harp</t>
  </si>
  <si>
    <t>Asa Music Production</t>
  </si>
  <si>
    <t>4238 Tenneyson Lane SW, Austell, GA 30106</t>
  </si>
  <si>
    <t>Point(-84.618377 33.851564)</t>
  </si>
  <si>
    <t>AthFest Educates</t>
  </si>
  <si>
    <t>Atlanta Educational Telecommunications Collaborative</t>
  </si>
  <si>
    <t>740 Bismark Road, Atlanta, GA, 30324</t>
  </si>
  <si>
    <t>Point(-84.364168 33.811102)</t>
  </si>
  <si>
    <t>Atlanta Music Project</t>
  </si>
  <si>
    <t>883 Dill Avenue SW, Atlanta, GA 30310</t>
  </si>
  <si>
    <t>Point(-84.417061 33.718595)</t>
  </si>
  <si>
    <t>Atlanta Photography Group</t>
  </si>
  <si>
    <t>75 Bennett Street NW, Atlanta, GA 30309</t>
  </si>
  <si>
    <t>Point(-84.395175 33.812208)</t>
  </si>
  <si>
    <t>Atlanta Printmakers Studio</t>
  </si>
  <si>
    <t>675 Metropolitan Parkkwy SW, Suite 6026, Atlanta, GA 30310</t>
  </si>
  <si>
    <t>Point(-84.408837 33.73731)</t>
  </si>
  <si>
    <t>Atlanta Young Singers</t>
  </si>
  <si>
    <t>1085 Ponce de Leon Avenue NE, Atlanta, GA 30306</t>
  </si>
  <si>
    <t>Point(-84.352006 33.773455)</t>
  </si>
  <si>
    <t>Augusta Players</t>
  </si>
  <si>
    <t>1301 Greene Street, Suite 304, Augusta, GA 30901</t>
  </si>
  <si>
    <t>Point(-81.97645 33.477411)</t>
  </si>
  <si>
    <t>Backlot Players</t>
  </si>
  <si>
    <t>Point(-83.939098 33.035091)</t>
  </si>
  <si>
    <t>Besharat Museum Gallery</t>
  </si>
  <si>
    <t>163 Peters Street SW, Atlanta, GA 30313</t>
  </si>
  <si>
    <t>Point(-84.398927 33.749973)</t>
  </si>
  <si>
    <t>Blue Heron Nature Preserve</t>
  </si>
  <si>
    <t>4055 Roswell Road NE, Atlanta, GA 30342</t>
  </si>
  <si>
    <t>Point(-84.379874 33.865822)</t>
  </si>
  <si>
    <t>Bridge Da Gap Movement</t>
  </si>
  <si>
    <t>4480 South Cobb Drive, #H202, Smyrna, GA 30080</t>
  </si>
  <si>
    <t>Point(-84.504466 33.843474)</t>
  </si>
  <si>
    <t>Callanwolde Foundation</t>
  </si>
  <si>
    <t>980 Briarcliff Road NE, Atlanta, GA 30306</t>
  </si>
  <si>
    <t>Point(-84.345085 33.781843)</t>
  </si>
  <si>
    <t>Chestatee Artists</t>
  </si>
  <si>
    <t>ChopArt</t>
  </si>
  <si>
    <t>CJE Foundation Inc.</t>
  </si>
  <si>
    <t>2866 Highway 22, Sparta, Georgia 31087</t>
  </si>
  <si>
    <t>Point(-83.075029 33.183529)</t>
  </si>
  <si>
    <t>Classic Center Cultural Foundation</t>
  </si>
  <si>
    <t>300 North Thomas Street, Athens, GA 30601</t>
  </si>
  <si>
    <t>Point(-83.372775 33.960222)</t>
  </si>
  <si>
    <t>Savannah Jazz</t>
  </si>
  <si>
    <t>Columbus Philharmonic Guild</t>
  </si>
  <si>
    <t>Point(-84.99242 32.463817)</t>
  </si>
  <si>
    <t>Community Arts Association in Newton County</t>
  </si>
  <si>
    <t>1169 Washington Street, Covington, GA 30014</t>
  </si>
  <si>
    <t>Point(-83.861633 33.595664)</t>
  </si>
  <si>
    <t>Community Arts Live</t>
  </si>
  <si>
    <t>476 Leonardo Avenue NE, Atlanta, GA 30307</t>
  </si>
  <si>
    <t>Point(-84.329779 33.767157)</t>
  </si>
  <si>
    <t>Dashboard</t>
  </si>
  <si>
    <t>245 North Highland Avenue, Suite 230-242, Atlanta, GA 30307</t>
  </si>
  <si>
    <t>Point(-84.359752 33.761677)</t>
  </si>
  <si>
    <t>Deep Center</t>
  </si>
  <si>
    <t>2002 Bull Street, 2nd Floor, Savannah, GA 31401</t>
  </si>
  <si>
    <t>Point(-81.099351 32.057811)</t>
  </si>
  <si>
    <t>Dodge Arts Guild</t>
  </si>
  <si>
    <t>drawchange</t>
  </si>
  <si>
    <t>1200 Foster Street, #W219, Atlanta, GA 30318</t>
  </si>
  <si>
    <t>Point(-84.416282 33.785865)</t>
  </si>
  <si>
    <t>Dublin Laurens Arts Council</t>
  </si>
  <si>
    <t>Dunwoody Nature Center</t>
  </si>
  <si>
    <t>5343 Roberts Drive, Dunwoody, GA 30338</t>
  </si>
  <si>
    <t>Point(-84.332768 33.956686)</t>
  </si>
  <si>
    <t>Fine Art Society of Middle GA</t>
  </si>
  <si>
    <t>149 South Commercial Circle, Warner Robins, GA 31088</t>
  </si>
  <si>
    <t>Point(-83.612555 32.617362)</t>
  </si>
  <si>
    <t>Fitzgerald-Ben Hill County Arts Council</t>
  </si>
  <si>
    <t>120 South Lee Street, Fitzgerald, GA 31750</t>
  </si>
  <si>
    <t>Point(-83.25582 31.71377)</t>
  </si>
  <si>
    <t>Flint River Arts Council</t>
  </si>
  <si>
    <t>50 Morgan Street, Camilla, GA 31730</t>
  </si>
  <si>
    <t>Point(-84.205801 31.225368)</t>
  </si>
  <si>
    <t>Flux Projects</t>
  </si>
  <si>
    <t>575 Boulevard #30, Atlanta, GA 30312</t>
  </si>
  <si>
    <t>Point(-84.371471 33.77016)</t>
  </si>
  <si>
    <t>Freedom Park Conservancy</t>
  </si>
  <si>
    <t>Freedom Park Trail, Atlanta, GA 30307</t>
  </si>
  <si>
    <t>Point(-84.348403 33.769915)</t>
  </si>
  <si>
    <t>Friends &amp; Stars Inc.</t>
  </si>
  <si>
    <t>1570 Smith Road, Ochlocknee, GA 31773</t>
  </si>
  <si>
    <t>Point(-84.076877 31.005657)</t>
  </si>
  <si>
    <t>Friends of Calhoun's GEM Theatre</t>
  </si>
  <si>
    <t>114 North Wall Street, Calhoun, GA 30701</t>
  </si>
  <si>
    <t>Point(-84.951466 34.503326)</t>
  </si>
  <si>
    <t>Friends of Historic Douglass Theatre Complex</t>
  </si>
  <si>
    <t>375 Martin Luther King Jr Boulevard, Macon, GA 31201</t>
  </si>
  <si>
    <t>Point(-83.625795 32.835425)</t>
  </si>
  <si>
    <t>Friends of Mimosa Hall &amp; Gardens</t>
  </si>
  <si>
    <t>127 Bulloch Ave, Roswell, GA 30075</t>
  </si>
  <si>
    <t>Point(-84.365826 34.015889)</t>
  </si>
  <si>
    <t>Friends of Spirit</t>
  </si>
  <si>
    <t>931 Monroe Drive NE, Suite 102 #268, Atlanta, GA 30308</t>
  </si>
  <si>
    <t>Point(-84.36702 33.778757)</t>
  </si>
  <si>
    <t>Georgia's Old Capital Museum Society</t>
  </si>
  <si>
    <t>Point(-83.224251 33.05041)</t>
  </si>
  <si>
    <t>glo</t>
  </si>
  <si>
    <t>#17-1200 Foster Street, Atlanta, Georgia 30318</t>
  </si>
  <si>
    <t>Point(-84.416281 33.785865)</t>
  </si>
  <si>
    <t>Harlem Arts Council</t>
  </si>
  <si>
    <t>375 North Louisville Street, Harlem, GA 30814</t>
  </si>
  <si>
    <t>Point(-82.310811 33.418907)</t>
  </si>
  <si>
    <t>Hawkinsville-Pulaski County Arts Council</t>
  </si>
  <si>
    <t>Helen Arts &amp; Heritage Center</t>
  </si>
  <si>
    <t>25 Chattahoochee Strasse, Helen, GA 30545</t>
  </si>
  <si>
    <t>Point(-83.73073 34.701931)</t>
  </si>
  <si>
    <t>Historic DeSoto Theatre Foundation</t>
  </si>
  <si>
    <t>530 Broad Street, Rome, GA 30161</t>
  </si>
  <si>
    <t>Point(-85.169318 34.255908)</t>
  </si>
  <si>
    <t>Hogansville Regional Arts Association</t>
  </si>
  <si>
    <t>Atlanta Film Society</t>
  </si>
  <si>
    <t>25 Park Place NE, Suite 1000, Atlanta, GA 30303</t>
  </si>
  <si>
    <t>Point(-84.387787 33.754908)</t>
  </si>
  <si>
    <t>Inspired Achievements Inc.</t>
  </si>
  <si>
    <t>Keep Roberta/Crawford Beautiful</t>
  </si>
  <si>
    <t>91 South Mathews Street, Roberta, GA 31078</t>
  </si>
  <si>
    <t>Point(-84.009763 32.718206)</t>
  </si>
  <si>
    <t>Kids Video Connection</t>
  </si>
  <si>
    <t>2989 Patty Hollow Court, Decatur, GA 30034</t>
  </si>
  <si>
    <t>Point(-84.2686 33.6695)</t>
  </si>
  <si>
    <t>Little Five Alive</t>
  </si>
  <si>
    <t>1194 Mansfield Avenue NE, Atlanta, GA, 30307</t>
  </si>
  <si>
    <t>Point(-84.348331 33.767941)</t>
  </si>
  <si>
    <t>Loop It Up Savannah</t>
  </si>
  <si>
    <t>1106 East 59th Street, Savannah, GA 31404</t>
  </si>
  <si>
    <t>Point(-81.089742 32.035702)</t>
  </si>
  <si>
    <t>Morton Theatre Corporation</t>
  </si>
  <si>
    <t>195 West Washington Street, Athens, GA 30601</t>
  </si>
  <si>
    <t>Point(-83.378624 33.958587)</t>
  </si>
  <si>
    <t>Mr. Damon's Shadow Puppet Theater</t>
  </si>
  <si>
    <t>Miracle Foundation of Arts &amp; Academics</t>
  </si>
  <si>
    <t>1000 Cobb Parkway North, Suite F, Marietta, GA 30062</t>
  </si>
  <si>
    <t>Point(-84.54634 33.976325)</t>
  </si>
  <si>
    <t>North Georgia Arts Guild</t>
  </si>
  <si>
    <t>184 South Main Street, Clayton, GA 30525</t>
  </si>
  <si>
    <t>Point(-83.401263 34.876011)</t>
  </si>
  <si>
    <t>Oconee Cultural Arts Foundation</t>
  </si>
  <si>
    <t>34 School Street, Watkinsville, GA 30677</t>
  </si>
  <si>
    <t>Point(-83.405944 33.864582)</t>
  </si>
  <si>
    <t>Oconee Performing Arts Society</t>
  </si>
  <si>
    <t>4980 Carey Station Road, Greensboro, GA 30642</t>
  </si>
  <si>
    <t>Point(-83.242149 33.486307)</t>
  </si>
  <si>
    <t>OnStage Atlanta</t>
  </si>
  <si>
    <t>3041 North Decatur Road, Scottdale, GA 30079</t>
  </si>
  <si>
    <t>Point(-84.268334 33.793064)</t>
  </si>
  <si>
    <t>Otis Redding Foundation</t>
  </si>
  <si>
    <t>339 Cotton Avenue, Macon, GA 31201</t>
  </si>
  <si>
    <t>Point(-83.628792 32.83757)</t>
  </si>
  <si>
    <t>Out Front Theatre Company</t>
  </si>
  <si>
    <t>999 Brady Avenue NW, Atlanta, GA 30318</t>
  </si>
  <si>
    <t>Point(-84.413023 33.782233)</t>
  </si>
  <si>
    <t>Paint Love</t>
  </si>
  <si>
    <t>3172 East Ponce De Leon Avenue, Suite G, Scottdale, GA 30079</t>
  </si>
  <si>
    <t>Point(-84.265333 33.786612)</t>
  </si>
  <si>
    <t>Performing Arts Alliance of Macon County</t>
  </si>
  <si>
    <t>100 West Railroad Street, Montezuma, GA 31063</t>
  </si>
  <si>
    <t>Point(-84.030733 32.300472)</t>
  </si>
  <si>
    <t>Pulse: Heartbeat of Macon</t>
  </si>
  <si>
    <t>1080 Magnolia Street, Macon, GA 31201</t>
  </si>
  <si>
    <t>Point(-83.637033 32.839128)</t>
  </si>
  <si>
    <t>Purbasha</t>
  </si>
  <si>
    <t>R2ise To Recovery</t>
  </si>
  <si>
    <t>680 Murphy Avenue SW, Suite 5036, Atlanta, GA 30310</t>
  </si>
  <si>
    <t>Point(-84.410384 33.736489)</t>
  </si>
  <si>
    <t>Ray City Community Library</t>
  </si>
  <si>
    <t>351 Pauline Avenue, Ray City, GA 31645</t>
  </si>
  <si>
    <t>Point(-83.197215 31.071669)</t>
  </si>
  <si>
    <t>Reforming Arts Incorporated</t>
  </si>
  <si>
    <t>132 Mitchell Street SW, 3rd Floor, Atlanta, GA 30303</t>
  </si>
  <si>
    <t>Point(-84.392358 33.75042)</t>
  </si>
  <si>
    <t>re:imagine/ATL</t>
  </si>
  <si>
    <t>100 Flat Shoals Avenue SE, Atlanta, GA 30316</t>
  </si>
  <si>
    <t>Point(-84.355554 33.75153)</t>
  </si>
  <si>
    <t>REMERGE</t>
  </si>
  <si>
    <t>340 Auburn Avenue NE, Atlanta, GA 30312</t>
  </si>
  <si>
    <t>Point(-84.376404 33.755613)</t>
  </si>
  <si>
    <t>Renaissance Connection</t>
  </si>
  <si>
    <t>123 North Front Street, Albany, GA 31701</t>
  </si>
  <si>
    <t>Point(-84.149396 31.57797)</t>
  </si>
  <si>
    <t>Roswell Arts Fund</t>
  </si>
  <si>
    <t>Serenbe Institute for Art Culture and the Environment</t>
  </si>
  <si>
    <t>10455 Atlanta Newnan Road, Chattahoochee Hills, GA 30268</t>
  </si>
  <si>
    <t>Point(-84.730601 33.518642)</t>
  </si>
  <si>
    <t>ArtsXchange</t>
  </si>
  <si>
    <t>2148 Newnan Street, East Point, GA 30344</t>
  </si>
  <si>
    <t>Point(-84.432077 33.696187)</t>
  </si>
  <si>
    <t>Southern Highland Music Foundation</t>
  </si>
  <si>
    <t>4797 Persimmon Road, Clayton, GA 30525</t>
  </si>
  <si>
    <t>Point(-83.51508 34.927236)</t>
  </si>
  <si>
    <t>Saltwater Performing Arts</t>
  </si>
  <si>
    <t>204 Arnow Drive, St Marys, Georgia 31558</t>
  </si>
  <si>
    <t>Point(-81.588155 30.75292)</t>
  </si>
  <si>
    <t>Stage Door Players</t>
  </si>
  <si>
    <t>North DeKalb Cultural Arts Center, 5339 Chamblee Dunwoody Road, Dunwoody GA 30338</t>
  </si>
  <si>
    <t>Point(-84.331944 33.944722)</t>
  </si>
  <si>
    <t>Sumter Players</t>
  </si>
  <si>
    <t>TADA Foundation Inc</t>
  </si>
  <si>
    <t>2335 Cheshire Bridge Rd NE, Atlanta, GA 30324, United States</t>
  </si>
  <si>
    <t>Point(-84.34947 33.81877)</t>
  </si>
  <si>
    <t>The Columbus Ballet</t>
  </si>
  <si>
    <t>1004 Broadway, Columbus, GA 31901</t>
  </si>
  <si>
    <t>Point(-84.992981 32.465202)</t>
  </si>
  <si>
    <t>The Essential Theatre</t>
  </si>
  <si>
    <t>1414 Foxhall Lane #10, Atlanta, GA 30316</t>
  </si>
  <si>
    <t>Point(-84.333734 33.712237)</t>
  </si>
  <si>
    <t>The Gift of Music Foundation</t>
  </si>
  <si>
    <t>2030 Powers Ferry Rd SE, Suite 390, Atlanta, GA 30339</t>
  </si>
  <si>
    <t>Point(-84.453875 33.898587)</t>
  </si>
  <si>
    <t>The Hapeville Arts Alliance</t>
  </si>
  <si>
    <t>781 N Central Avenue, Hapeville, GA</t>
  </si>
  <si>
    <t>Point(-84.414501 33.662418)</t>
  </si>
  <si>
    <t>The Object Group</t>
  </si>
  <si>
    <t>Thiokol Memorial Project</t>
  </si>
  <si>
    <t>115 S Lee St, Kingsland, GA 31548</t>
  </si>
  <si>
    <t>Point(-81.6900493 30.7992604)</t>
  </si>
  <si>
    <t>Thomaston-Upson Arts Council</t>
  </si>
  <si>
    <t>201 S Center Street, Thomaston, GA 30286</t>
  </si>
  <si>
    <t>Point(-84.326045 32.887037)</t>
  </si>
  <si>
    <t>Tri-Cities Arts Alliance</t>
  </si>
  <si>
    <t>Twinhead Theatre</t>
  </si>
  <si>
    <t>Watershed Dance Theatre</t>
  </si>
  <si>
    <t>Wayne County Arts Council</t>
  </si>
  <si>
    <t>192 W. Pine Street, Jesup, GA 31545</t>
  </si>
  <si>
    <t>Point(-81.881479 31.60829)</t>
  </si>
  <si>
    <t>Wilcox County Arts Council</t>
  </si>
  <si>
    <t>388 College St W, Abbeville, GA</t>
  </si>
  <si>
    <t>Point(-83.312876 31.990844)</t>
  </si>
  <si>
    <t>Working Title Playwrights</t>
  </si>
  <si>
    <t>121 New St #5360, Decatur, GA 30030</t>
  </si>
  <si>
    <t>Point(-84.285082 33.772571)</t>
  </si>
  <si>
    <t>Youth Ensemble of Atlanta</t>
  </si>
  <si>
    <t>9 Gammon Avenue, Atlanta, Georgia 30315</t>
  </si>
  <si>
    <t>Point(-84.389416 33.717288)</t>
  </si>
  <si>
    <t>Chickamauga Battlefield Visitor Center</t>
  </si>
  <si>
    <t>Point(-85.25993 34.940436)</t>
  </si>
  <si>
    <t>Twitter handle</t>
  </si>
  <si>
    <t>Facebook handle</t>
  </si>
  <si>
    <t>Name of Organization</t>
  </si>
  <si>
    <t>Street Address</t>
  </si>
  <si>
    <t>Phone Number</t>
  </si>
  <si>
    <t>Website URL</t>
  </si>
  <si>
    <t>Hurt–Rives Plantation</t>
  </si>
  <si>
    <t>Jones–Florence Plantation</t>
  </si>
  <si>
    <t>Lockhart–Cosby Plantation</t>
  </si>
  <si>
    <t>Teel–Crawford–Gaston Plantation</t>
  </si>
  <si>
    <t>5010 W Broad St., Sugar Hill, GA 30518</t>
  </si>
  <si>
    <t>Solomon–Smith–Martin House</t>
  </si>
  <si>
    <t>739 Greene Street, Augusta, GA 30901</t>
  </si>
  <si>
    <t>Lapham–Patterson House</t>
  </si>
  <si>
    <t>Nuçi's Space</t>
  </si>
  <si>
    <t>120 South Clarke Street, Milledgeville, GA 31061</t>
  </si>
  <si>
    <t>Jefferson Davis’ Heritage Trail and Sherman’s March to the Sea</t>
  </si>
  <si>
    <t>2355 Ethridge Road, Jefferson, GA 30549</t>
  </si>
  <si>
    <t>315 Shorter Avenue, Rome, GA 30165</t>
  </si>
  <si>
    <t>100 W. College Park Drive, Douglas, GA 31533</t>
  </si>
  <si>
    <t>103 East 8th Street, Woodbine, Georgia 31569</t>
  </si>
  <si>
    <t>Pope’s Museum and Farm</t>
  </si>
  <si>
    <t>A Través</t>
  </si>
  <si>
    <t>+1-912-882-4336</t>
  </si>
  <si>
    <t>+1-770-695-0651</t>
  </si>
  <si>
    <t>+1-229-245-2448</t>
  </si>
  <si>
    <t>+1-706-946-2601</t>
  </si>
  <si>
    <t>+1-800-277-7020</t>
  </si>
  <si>
    <t>+1-706-653-6240</t>
  </si>
  <si>
    <t>+1-770-945-6929</t>
  </si>
  <si>
    <t>+1-706-426-1542</t>
  </si>
  <si>
    <t>+1-678-901-3356</t>
  </si>
  <si>
    <t>+1-678-901-0245</t>
  </si>
  <si>
    <t>+1-912-231-7105</t>
  </si>
  <si>
    <t>+1-706-655-5616</t>
  </si>
  <si>
    <t>+1-770-416-1500</t>
  </si>
  <si>
    <t>+1-404-881-0900</t>
  </si>
  <si>
    <t>+1-706-372-4562</t>
  </si>
  <si>
    <t>+1-770-382-6141</t>
  </si>
  <si>
    <t>+1-404-244-2500</t>
  </si>
  <si>
    <t>+1-770-608-2514</t>
  </si>
  <si>
    <t>+1-678-432-5353</t>
  </si>
  <si>
    <t>+1-478-953-4500</t>
  </si>
  <si>
    <t>+1-706-542-1244</t>
  </si>
  <si>
    <t>+1-912-638-3630</t>
  </si>
  <si>
    <t>+1-912-786-5787</t>
  </si>
  <si>
    <t>+1-478-745-5982</t>
  </si>
  <si>
    <t>+1-706-549-8688</t>
  </si>
  <si>
    <t>+1-478-986-5172</t>
  </si>
  <si>
    <t>+1-678-547-6284</t>
  </si>
  <si>
    <t>+1-478-752-8257</t>
  </si>
  <si>
    <t>+1-912-557-4335</t>
  </si>
  <si>
    <t>+1-478-741-5551</t>
  </si>
  <si>
    <t>+1-404-730-4001</t>
  </si>
  <si>
    <t>+1-229-426-5069</t>
  </si>
  <si>
    <t>+1-229-247-4780</t>
  </si>
  <si>
    <t>+1-770-443-7850</t>
  </si>
  <si>
    <t>+1-229-776-4097</t>
  </si>
  <si>
    <t>+1-770-301-2187</t>
  </si>
  <si>
    <t>+1-229-244-6747</t>
  </si>
  <si>
    <t>+1-478-552-3186</t>
  </si>
  <si>
    <t>+1-706-675-6507</t>
  </si>
  <si>
    <t>+1-229-391-5205</t>
  </si>
  <si>
    <t>+1-678-364-3710</t>
  </si>
  <si>
    <t>+1-404-727-6873</t>
  </si>
  <si>
    <t>+1-229-432-6955</t>
  </si>
  <si>
    <t>+1-706-678-2105</t>
  </si>
  <si>
    <t>+1-478-743-3851</t>
  </si>
  <si>
    <t>+1-770-904-3504</t>
  </si>
  <si>
    <t>+1-912-233-6014</t>
  </si>
  <si>
    <t>+1-770-720-5970</t>
  </si>
  <si>
    <t>+1-912-790-8800</t>
  </si>
  <si>
    <t>+1-912-264-7333</t>
  </si>
  <si>
    <t>+1-912-754-7001</t>
  </si>
  <si>
    <t>+1-912-437-4473</t>
  </si>
  <si>
    <t>+1-912-525-7191</t>
  </si>
  <si>
    <t>+1-770-387-5162</t>
  </si>
  <si>
    <t>+1-706-655-5870</t>
  </si>
  <si>
    <t>+1-404-953-9121</t>
  </si>
  <si>
    <t>+1-770-781-9840</t>
  </si>
  <si>
    <t>+1-404-814-4000</t>
  </si>
  <si>
    <t>+1-770-968-2100</t>
  </si>
  <si>
    <t>+1-912-279-3740</t>
  </si>
  <si>
    <t>+1-912-634-7090</t>
  </si>
  <si>
    <t>+1-404-523-6220</t>
  </si>
  <si>
    <t>+1-478-742-5084</t>
  </si>
  <si>
    <t>+1-912-344-3900</t>
  </si>
  <si>
    <t>+1-404-235-7200</t>
  </si>
  <si>
    <t>+1-404-370-3070</t>
  </si>
  <si>
    <t>+1-706-376-4655</t>
  </si>
  <si>
    <t>+1-706-283-5375</t>
  </si>
  <si>
    <t>+1-229-426-5080</t>
  </si>
  <si>
    <t>+1-706-965-3600</t>
  </si>
  <si>
    <t>+1-229-985-1922</t>
  </si>
  <si>
    <t>+1-229-263-4412</t>
  </si>
  <si>
    <t>+1-229-377-3632</t>
  </si>
  <si>
    <t>+1-229-776-2096</t>
  </si>
  <si>
    <t>+1-912-238-0208</t>
  </si>
  <si>
    <t>+1-912-233-1828</t>
  </si>
  <si>
    <t>+1-912-233-1547</t>
  </si>
  <si>
    <t>+1-404-865-7100</t>
  </si>
  <si>
    <t>+1-706-356-4307</t>
  </si>
  <si>
    <t>+1-404-727-4166</t>
  </si>
  <si>
    <t>+1-470-578-6202</t>
  </si>
  <si>
    <t>+1-706-886-7299</t>
  </si>
  <si>
    <t>+1-770-387-3747</t>
  </si>
  <si>
    <t>+1-706-456-2602</t>
  </si>
  <si>
    <t>+1-404-523-2739</t>
  </si>
  <si>
    <t>+1-229-439-8400</t>
  </si>
  <si>
    <t>+1-706-542-1923</t>
  </si>
  <si>
    <t>+1-678-547-6680</t>
  </si>
  <si>
    <t>+1-478-445-8722</t>
  </si>
  <si>
    <t>+1-770-641-3978</t>
  </si>
  <si>
    <t>+1-404-588-1837</t>
  </si>
  <si>
    <t>+1-706-722-8454</t>
  </si>
  <si>
    <t>+1-678-366-3511</t>
  </si>
  <si>
    <t>+1-770-640-3855</t>
  </si>
  <si>
    <t>+1-706-367-6350</t>
  </si>
  <si>
    <t>+1-706-884-1832</t>
  </si>
  <si>
    <t>+1-478-552-1965</t>
  </si>
  <si>
    <t>+1-229-924-0343</t>
  </si>
  <si>
    <t>+1-706-823-0440</t>
  </si>
  <si>
    <t>+1-770-387-1300</t>
  </si>
  <si>
    <t>+1-800-401-2407</t>
  </si>
  <si>
    <t>+1-770-992-1731</t>
  </si>
  <si>
    <t>+1-404-331-5190</t>
  </si>
  <si>
    <t>+1-706-678-7060</t>
  </si>
  <si>
    <t>+1-478-272-2560</t>
  </si>
  <si>
    <t>+1-706-713-2724</t>
  </si>
  <si>
    <t>+1-912-651-1973</t>
  </si>
  <si>
    <t>+1-404-873-3089</t>
  </si>
  <si>
    <t>+1-706-291-9494</t>
  </si>
  <si>
    <t>+1-706-748-2562</t>
  </si>
  <si>
    <t>+1-706-864-2257</t>
  </si>
  <si>
    <t>+1-404-715-7886</t>
  </si>
  <si>
    <t>+1-706-583-0209</t>
  </si>
  <si>
    <t>+1-912-884-2347</t>
  </si>
  <si>
    <t>+1-404-929-6300</t>
  </si>
  <si>
    <t>+1-912-233-6597</t>
  </si>
  <si>
    <t>+1-229-639-2650</t>
  </si>
  <si>
    <t>+1-912-437-4770</t>
  </si>
  <si>
    <t>+1-912-884-5999</t>
  </si>
  <si>
    <t>+1-706-422-1932</t>
  </si>
  <si>
    <t>+1-706-861-2860</t>
  </si>
  <si>
    <t>+1-770-867-3489</t>
  </si>
  <si>
    <t>+1-912-355-8111</t>
  </si>
  <si>
    <t>+1-706-542-7123</t>
  </si>
  <si>
    <t>+1-229-333-7150</t>
  </si>
  <si>
    <t>+1-912-478-5115</t>
  </si>
  <si>
    <t>+1-912-344-3027</t>
  </si>
  <si>
    <t>+1-229-391-4990</t>
  </si>
  <si>
    <t>+1-912-279-5874</t>
  </si>
  <si>
    <t>+1-912-510-3331</t>
  </si>
  <si>
    <t>+1-706-667-4906</t>
  </si>
  <si>
    <t>+1-706-721-3441</t>
  </si>
  <si>
    <t>+1-229-500-3472</t>
  </si>
  <si>
    <t>+1-229-500-3613</t>
  </si>
  <si>
    <t>+1-404-756-4010</t>
  </si>
  <si>
    <t>+1-404-261-1776</t>
  </si>
  <si>
    <t>+1-912-651-2125</t>
  </si>
  <si>
    <t>+1-706-542-0441</t>
  </si>
  <si>
    <t>+1-706-542-1663</t>
  </si>
  <si>
    <t>+1-229-874-4786</t>
  </si>
  <si>
    <t>+1-478-752-5448</t>
  </si>
  <si>
    <t>+1-404-413-2820</t>
  </si>
  <si>
    <t>+1-404-894-4500</t>
  </si>
  <si>
    <t>+1-404-881-9980</t>
  </si>
  <si>
    <t>+1-800-459-1230</t>
  </si>
  <si>
    <t>+1-470-578-4736</t>
  </si>
  <si>
    <t>+1-706-583-0565</t>
  </si>
  <si>
    <t>+1-423-463-8159</t>
  </si>
  <si>
    <t>+1-912-232-1251</t>
  </si>
  <si>
    <t>+1-404-471-6344</t>
  </si>
  <si>
    <t>+1-229-432-1698</t>
  </si>
  <si>
    <t>+1-404-881-0835</t>
  </si>
  <si>
    <t>+1-404-378-3164</t>
  </si>
  <si>
    <t>+1-478-552-2393</t>
  </si>
  <si>
    <t>+1-404-612-0481</t>
  </si>
  <si>
    <t>+1-706-645-1649</t>
  </si>
  <si>
    <t>+1-404-581-9813</t>
  </si>
  <si>
    <t>+1-706-613-3650</t>
  </si>
  <si>
    <t>+1-706-882-3242</t>
  </si>
  <si>
    <t>+1-912-234-5520</t>
  </si>
  <si>
    <t>+1-912-236-8097</t>
  </si>
  <si>
    <t>+1-706-542-0842</t>
  </si>
  <si>
    <t>+1-229-831-2335</t>
  </si>
  <si>
    <t>+1-912-635-4036</t>
  </si>
  <si>
    <t>+1-706-828-7768</t>
  </si>
  <si>
    <t>+1-912-638-4666</t>
  </si>
  <si>
    <t>+1-229-824-4104</t>
  </si>
  <si>
    <t>+1-404-753-7735</t>
  </si>
  <si>
    <t>+1-912-233-4501</t>
  </si>
  <si>
    <t>+1-229-226-7664</t>
  </si>
  <si>
    <t>+1-470-525-5002</t>
  </si>
  <si>
    <t>+1-770-528-1444</t>
  </si>
  <si>
    <t>+1-470-206-1019</t>
  </si>
  <si>
    <t>+1-706-485-4530</t>
  </si>
  <si>
    <t>+1-706-678-7736</t>
  </si>
  <si>
    <t>+1-770-267-5602</t>
  </si>
  <si>
    <t>+1-706-724-4174</t>
  </si>
  <si>
    <t>+1-404-727-4282</t>
  </si>
  <si>
    <t>+1-912-748-8888</t>
  </si>
  <si>
    <t>+1-706-724-7501</t>
  </si>
  <si>
    <t>+1-706-556-0401</t>
  </si>
  <si>
    <t>+1-478-477-3232</t>
  </si>
  <si>
    <t>+1-478-926-6870</t>
  </si>
  <si>
    <t>+1-404-367-8700</t>
  </si>
  <si>
    <t>+1-470-284-7300</t>
  </si>
  <si>
    <t>+1-706-327-9798</t>
  </si>
  <si>
    <t>+1-706-685-5800</t>
  </si>
  <si>
    <t>+1-770-867-2762</t>
  </si>
  <si>
    <t>+1-706-757-3577</t>
  </si>
  <si>
    <t>+1-706-677-3164</t>
  </si>
  <si>
    <t>+1-706-652-2323</t>
  </si>
  <si>
    <t>+1-770-725-4785</t>
  </si>
  <si>
    <t>+1-706-654-1992</t>
  </si>
  <si>
    <t>+1-706-693-1905</t>
  </si>
  <si>
    <t>+1-706-367-9399</t>
  </si>
  <si>
    <t>+1-770-382-5657</t>
  </si>
  <si>
    <t>+1-770-769-9200</t>
  </si>
  <si>
    <t>+1-770-382-2057</t>
  </si>
  <si>
    <t>+1-478-621-6970</t>
  </si>
  <si>
    <t>+1-478-744-0875</t>
  </si>
  <si>
    <t>+1-478-836-4478</t>
  </si>
  <si>
    <t>+1-478-949-2720</t>
  </si>
  <si>
    <t>+1-478-967-2413</t>
  </si>
  <si>
    <t>+1-478-945-3814</t>
  </si>
  <si>
    <t>+1-478-946-2778</t>
  </si>
  <si>
    <t>+1-912-685-2455</t>
  </si>
  <si>
    <t>+1-478-237-7791</t>
  </si>
  <si>
    <t>+1-770-920-7125</t>
  </si>
  <si>
    <t>+1-770-258-8991</t>
  </si>
  <si>
    <t>+1-770-459-7012</t>
  </si>
  <si>
    <t>+1-770-944-5931</t>
  </si>
  <si>
    <t>+1-770-537-3937</t>
  </si>
  <si>
    <t>+1-770-574-3124</t>
  </si>
  <si>
    <t>+1-706-675-6501</t>
  </si>
  <si>
    <t>+1-770-445-5680</t>
  </si>
  <si>
    <t>+1-770-836-6711</t>
  </si>
  <si>
    <t>+1-770-439-3964</t>
  </si>
  <si>
    <t>+1-770-459-8163</t>
  </si>
  <si>
    <t>+1-770-832-0056</t>
  </si>
  <si>
    <t>+1-770-646-3369</t>
  </si>
  <si>
    <t>+1-770-834-0713</t>
  </si>
  <si>
    <t>+1-770-854-7323</t>
  </si>
  <si>
    <t>+1-770-975-0197</t>
  </si>
  <si>
    <t>+1-770-577-5186</t>
  </si>
  <si>
    <t>+1-770-562-5145</t>
  </si>
  <si>
    <t>+1-912-754-3003</t>
  </si>
  <si>
    <t>+1-912-921-2082</t>
  </si>
  <si>
    <t>+1-912-884-5742</t>
  </si>
  <si>
    <t>+1-912-927-4079</t>
  </si>
  <si>
    <t>+1-912-201-9246</t>
  </si>
  <si>
    <t>+1-706-857-2553</t>
  </si>
  <si>
    <t>+1-706-734-7594</t>
  </si>
  <si>
    <t>+1-706-635-4528</t>
  </si>
  <si>
    <t>+1-706-692-5411</t>
  </si>
  <si>
    <t>+1-770-479-3090</t>
  </si>
  <si>
    <t>+1-770-591-1491</t>
  </si>
  <si>
    <t>+1-770-345-7565</t>
  </si>
  <si>
    <t>+1-678-493-6175</t>
  </si>
  <si>
    <t>+1-770-735-2025</t>
  </si>
  <si>
    <t>+1-706-742-7735</t>
  </si>
  <si>
    <t>+1-770-725-9443</t>
  </si>
  <si>
    <t>+1-706-245-6748</t>
  </si>
  <si>
    <t>+1-706-613-3667</t>
  </si>
  <si>
    <t>+1-706-613-3657</t>
  </si>
  <si>
    <t>+1-706-613-3708</t>
  </si>
  <si>
    <t>+1-770-347-0160</t>
  </si>
  <si>
    <t>+1-770-478-7120</t>
  </si>
  <si>
    <t>+1-770-347-0170</t>
  </si>
  <si>
    <t>+1-770-473-3850</t>
  </si>
  <si>
    <t>+1-770-472-8129</t>
  </si>
  <si>
    <t>+1-770-528-2320</t>
  </si>
  <si>
    <t>+1-770-509-2711</t>
  </si>
  <si>
    <t>+1-770-528-2524</t>
  </si>
  <si>
    <t>+1-770-528-2527</t>
  </si>
  <si>
    <t>+1-770-801-5335</t>
  </si>
  <si>
    <t>+1-770-509-2725</t>
  </si>
  <si>
    <t>+1-770-439-3600</t>
  </si>
  <si>
    <t>+1-770-528-2520</t>
  </si>
  <si>
    <t>+1-678-398-5828</t>
  </si>
  <si>
    <t>+1-770-819-3290</t>
  </si>
  <si>
    <t>+1-770-528-4699</t>
  </si>
  <si>
    <t>+1-770-509-2730</t>
  </si>
  <si>
    <t>+1-912-384-4667</t>
  </si>
  <si>
    <t>+1-912-359-3887</t>
  </si>
  <si>
    <t>+1-912-345-2534</t>
  </si>
  <si>
    <t>+1-912-422-3500</t>
  </si>
  <si>
    <t>+1-912-534-5252</t>
  </si>
  <si>
    <t>+1-912-359-2536</t>
  </si>
  <si>
    <t>+1-229-985-6540</t>
  </si>
  <si>
    <t>+1-229-782-5507</t>
  </si>
  <si>
    <t>+1-229-248-2665</t>
  </si>
  <si>
    <t>+1-229-758-3131</t>
  </si>
  <si>
    <t>+1-229-524-2665</t>
  </si>
  <si>
    <t>+1-404-848-7140</t>
  </si>
  <si>
    <t>+1-404-508-7180</t>
  </si>
  <si>
    <t>+1-404-679-4404</t>
  </si>
  <si>
    <t>+1-770-512-4640</t>
  </si>
  <si>
    <t>+1-770-936-1380</t>
  </si>
  <si>
    <t>+1-770-936-3852</t>
  </si>
  <si>
    <t>+1-770-270-8230</t>
  </si>
  <si>
    <t>+1-404-508-7170</t>
  </si>
  <si>
    <t>+1-770-482-3820</t>
  </si>
  <si>
    <t>+1-770-270-8234</t>
  </si>
  <si>
    <t>+1-770-987-6900</t>
  </si>
  <si>
    <t>+1-404-286-6986</t>
  </si>
  <si>
    <t>+1-770-413-2020</t>
  </si>
  <si>
    <t>+1-404-508-7174</t>
  </si>
  <si>
    <t>+1-404-286-6980</t>
  </si>
  <si>
    <t>+1-404-508-7175</t>
  </si>
  <si>
    <t>+1-404-244-4370</t>
  </si>
  <si>
    <t>+1-404-679-4408</t>
  </si>
  <si>
    <t>+1-770-482-3821</t>
  </si>
  <si>
    <t>+1-404-244-4374</t>
  </si>
  <si>
    <t>+1-404-508-7190</t>
  </si>
  <si>
    <t>+1-770-482-3828</t>
  </si>
  <si>
    <t>+1-478-934-2904</t>
  </si>
  <si>
    <t>+1-229-467-2075</t>
  </si>
  <si>
    <t>+1-478-892-3155</t>
  </si>
  <si>
    <t>+1-478-374-4711</t>
  </si>
  <si>
    <t>+1-229-868-2978</t>
  </si>
  <si>
    <t>+1-912-568-7321</t>
  </si>
  <si>
    <t>+1-229-420-3250</t>
  </si>
  <si>
    <t>+1-229-420-3280</t>
  </si>
  <si>
    <t>+1-706-245-0705</t>
  </si>
  <si>
    <t>+1-706-777-3346</t>
  </si>
  <si>
    <t>+1-770-748-5644</t>
  </si>
  <si>
    <t>+1-706-684-3022</t>
  </si>
  <si>
    <t>+1-706-236-4600</t>
  </si>
  <si>
    <t>+1-404-613-4364</t>
  </si>
  <si>
    <t>+1-404-752-8763</t>
  </si>
  <si>
    <t>+1-404-699-4206</t>
  </si>
  <si>
    <t>+1-404-613-6735</t>
  </si>
  <si>
    <t>+1-404-814-3500</t>
  </si>
  <si>
    <t>+1-404-762-4060</t>
  </si>
  <si>
    <t>+1-404-792-4961</t>
  </si>
  <si>
    <t>+1-404-730-5438</t>
  </si>
  <si>
    <t>+1-404-762-4065</t>
  </si>
  <si>
    <t>+1-404-613-5750</t>
  </si>
  <si>
    <t>+1-404-613-7200</t>
  </si>
  <si>
    <t>+1-404-885-7830</t>
  </si>
  <si>
    <t>+1-404-885-7820</t>
  </si>
  <si>
    <t>+1-770-640-3075</t>
  </si>
  <si>
    <t>+1-404-612-7000</t>
  </si>
  <si>
    <t>+1-404-613-7000</t>
  </si>
  <si>
    <t>+1-404-612-0110</t>
  </si>
  <si>
    <t>+1-404-613-1050</t>
  </si>
  <si>
    <t>+1-770-360-8820</t>
  </si>
  <si>
    <t>+1-404-613-3092</t>
  </si>
  <si>
    <t>+1-404-730-4779</t>
  </si>
  <si>
    <t>+1-404-762-4116</t>
  </si>
  <si>
    <t>+1-770-360-8897</t>
  </si>
  <si>
    <t>+1-404-613-4050</t>
  </si>
  <si>
    <t>+1-404-613-4075</t>
  </si>
  <si>
    <t>+1-404-613-4255</t>
  </si>
  <si>
    <t>+1-912-462-5454</t>
  </si>
  <si>
    <t>+1-912-729-3741</t>
  </si>
  <si>
    <t>+1-912-496-2041</t>
  </si>
  <si>
    <t>+1-912-437-2124</t>
  </si>
  <si>
    <t>+1-912-545-2521</t>
  </si>
  <si>
    <t>+1-912-485-2291</t>
  </si>
  <si>
    <t>+1-770-978-5154</t>
  </si>
  <si>
    <t>+1-706-754-4413</t>
  </si>
  <si>
    <t>+1-706-886-6082</t>
  </si>
  <si>
    <t>+1-706-782-3731</t>
  </si>
  <si>
    <t>+1-706-865-5572</t>
  </si>
  <si>
    <t>+1-706-878-2438</t>
  </si>
  <si>
    <t>+1-706-778-2635</t>
  </si>
  <si>
    <t>+1-706-754-0416</t>
  </si>
  <si>
    <t>+1-706-864-3668</t>
  </si>
  <si>
    <t>+1-706-344-3690</t>
  </si>
  <si>
    <t>+1-706-216-3800</t>
  </si>
  <si>
    <t>+1-478-923-0128</t>
  </si>
  <si>
    <t>+1-478-625-7079</t>
  </si>
  <si>
    <t>+1-706-547-7567</t>
  </si>
  <si>
    <t>+1-478-252-5392</t>
  </si>
  <si>
    <t>+1-478-272-5710</t>
  </si>
  <si>
    <t>+1-478-864-3940</t>
  </si>
  <si>
    <t>+1-478-246-7181</t>
  </si>
  <si>
    <t>+1-478-552-7466</t>
  </si>
  <si>
    <t>+1-706-598-9837</t>
  </si>
  <si>
    <t>+1-229-482-2904</t>
  </si>
  <si>
    <t>+1-229-794-3063</t>
  </si>
  <si>
    <t>+1-229-559-8016</t>
  </si>
  <si>
    <t>+1-229-559-8182</t>
  </si>
  <si>
    <t>+1-229-253-8313</t>
  </si>
  <si>
    <t>+1-706-672-4004</t>
  </si>
  <si>
    <t>+1-706-665-3134</t>
  </si>
  <si>
    <t>+1-478-862-5428</t>
  </si>
  <si>
    <t>+1-478-847-3468</t>
  </si>
  <si>
    <t>+1-706-647-8649</t>
  </si>
  <si>
    <t>+1-706-472-3048</t>
  </si>
  <si>
    <t>+1-706-846-2186</t>
  </si>
  <si>
    <t>+1-229-336-8372</t>
  </si>
  <si>
    <t>+1-229-723-3079</t>
  </si>
  <si>
    <t>+1-229-294-6030</t>
  </si>
  <si>
    <t>+1-229-734-3025</t>
  </si>
  <si>
    <t>+1-229-336-4510</t>
  </si>
  <si>
    <t>+1-706-444-5389</t>
  </si>
  <si>
    <t>+1-706-468-6292</t>
  </si>
  <si>
    <t>+1-706-485-6768</t>
  </si>
  <si>
    <t>+1-770-466-2895</t>
  </si>
  <si>
    <t>+1-770-267-4630</t>
  </si>
  <si>
    <t>+1-770-464-2444</t>
  </si>
  <si>
    <t>+1-706-342-4974</t>
  </si>
  <si>
    <t>+1-706-243-2782</t>
  </si>
  <si>
    <t>+1-706-989-3700</t>
  </si>
  <si>
    <t>+1-706-748-2855</t>
  </si>
  <si>
    <t>+1-706-683-8805</t>
  </si>
  <si>
    <t>+1-770-787-3231</t>
  </si>
  <si>
    <t>+1-770-787-1126</t>
  </si>
  <si>
    <t>+1-678-729-1388</t>
  </si>
  <si>
    <t>+1-478-956-2200</t>
  </si>
  <si>
    <t>+1-706-736-6244</t>
  </si>
  <si>
    <t>+1-706-736-6758</t>
  </si>
  <si>
    <t>+1-706-722-6275</t>
  </si>
  <si>
    <t>+1-706-772-2432</t>
  </si>
  <si>
    <t>+1-770-388-5040</t>
  </si>
  <si>
    <t>+1-912-564-7526</t>
  </si>
  <si>
    <t>+1-478-982-4244</t>
  </si>
  <si>
    <t>+1-770-412-4770</t>
  </si>
  <si>
    <t>+1-770-358-3270</t>
  </si>
  <si>
    <t>+1-770-305-5426</t>
  </si>
  <si>
    <t>+1-770-775-7524</t>
  </si>
  <si>
    <t>+1-770-567-2014</t>
  </si>
  <si>
    <t>+1-770-631-2520</t>
  </si>
  <si>
    <t>+1-770-487-1565</t>
  </si>
  <si>
    <t>+1-229-276-1300</t>
  </si>
  <si>
    <t>+1-229-937-2004</t>
  </si>
  <si>
    <t>+1-478-627-9303</t>
  </si>
  <si>
    <t>+1-229-268-4687</t>
  </si>
  <si>
    <t>+1-478-433-5100</t>
  </si>
  <si>
    <t>+1-229-995-2902</t>
  </si>
  <si>
    <t>+1-229-732-2566</t>
  </si>
  <si>
    <t>+1-229-828-5740</t>
  </si>
  <si>
    <t>+1-229-334-8972</t>
  </si>
  <si>
    <t>+1-229-859-2697</t>
  </si>
  <si>
    <t>+1-229-683-3853</t>
  </si>
  <si>
    <t>+1-229-574-5884</t>
  </si>
  <si>
    <t>+1-229-498-5101</t>
  </si>
  <si>
    <t>+1-229-346-3463</t>
  </si>
  <si>
    <t>+1-229-386-3400</t>
  </si>
  <si>
    <t>+1-229-686-2782</t>
  </si>
  <si>
    <t>+1-229-896-3652</t>
  </si>
  <si>
    <t>+1-229-468-2148</t>
  </si>
  <si>
    <t>+1-229-386-7148</t>
  </si>
  <si>
    <t>+1-229-567-4027</t>
  </si>
  <si>
    <t>+1-706-632-5263</t>
  </si>
  <si>
    <t>+1-706-882-7784</t>
  </si>
  <si>
    <t>+1-706-637-6230</t>
  </si>
  <si>
    <t>+1-706-638-2992</t>
  </si>
  <si>
    <t>+1-706-657-7857</t>
  </si>
  <si>
    <t>+1-706-375-3004</t>
  </si>
  <si>
    <t>+1-706-695-4200</t>
  </si>
  <si>
    <t>+1-706-624-1456</t>
  </si>
  <si>
    <t>+1-706-876-1360</t>
  </si>
  <si>
    <t>+1-706-595-1341</t>
  </si>
  <si>
    <t>+1-706-456-2531</t>
  </si>
  <si>
    <t>+1-912-557-6247</t>
  </si>
  <si>
    <t>+1-912-654-3812</t>
  </si>
  <si>
    <t>+1-912-537-9283</t>
  </si>
  <si>
    <t>+1-912-526-6511</t>
  </si>
  <si>
    <t>+1-912-537-8186</t>
  </si>
  <si>
    <t>+1-912-375-2386</t>
  </si>
  <si>
    <t>+1-912-367-8103</t>
  </si>
  <si>
    <t>+1-912-632-4710</t>
  </si>
  <si>
    <t>+1-912-483-0475</t>
  </si>
  <si>
    <t>+1-912-449-7040</t>
  </si>
  <si>
    <t>+1-912-287-4978</t>
  </si>
  <si>
    <t>+1-229-759-2369</t>
  </si>
  <si>
    <t>+1-229-903-8871</t>
  </si>
  <si>
    <t>+1-770-532-3311</t>
  </si>
  <si>
    <t>+1-478-452-0677</t>
  </si>
  <si>
    <t>+1-478-452-6522</t>
  </si>
  <si>
    <t>+1-770-253-3625</t>
  </si>
  <si>
    <t>+1-770-683-2052</t>
  </si>
  <si>
    <t>+1-770-683-0535</t>
  </si>
  <si>
    <t>+1-770-599-3537</t>
  </si>
  <si>
    <t>+1-706-556-0594</t>
  </si>
  <si>
    <t>+1-706-650-5009</t>
  </si>
  <si>
    <t>+1-706-465-2656</t>
  </si>
  <si>
    <t>+1-478-569-4866</t>
  </si>
  <si>
    <t>+1-478-589-7825</t>
  </si>
  <si>
    <t>+1-912-279-3750</t>
  </si>
  <si>
    <t>+1-706-624-1321</t>
  </si>
  <si>
    <t>+1-706-227-1515</t>
  </si>
  <si>
    <t>+1-706-368-6705</t>
  </si>
  <si>
    <t>+1-229-333-5860</t>
  </si>
  <si>
    <t>+1-912-496-7836</t>
  </si>
  <si>
    <t>+1-912-283-0583</t>
  </si>
  <si>
    <t>+1-478-445-4545</t>
  </si>
  <si>
    <t>+1-229-226-2344</t>
  </si>
  <si>
    <t>+1-706-694-6455</t>
  </si>
  <si>
    <t>+1-678-594-4994</t>
  </si>
  <si>
    <t>+1-706-629-2599</t>
  </si>
  <si>
    <t>+1-912-232-3945</t>
  </si>
  <si>
    <t>+1-912-355-0064</t>
  </si>
  <si>
    <t>+1-912-651-4292</t>
  </si>
  <si>
    <t>+1-912-651-6825</t>
  </si>
  <si>
    <t>+1-478-279-2514</t>
  </si>
  <si>
    <t>+1-912-884-6500</t>
  </si>
  <si>
    <t>+1-770-251-0207</t>
  </si>
  <si>
    <t>+1-706-884-1828</t>
  </si>
  <si>
    <t>+1-478-552-3288</t>
  </si>
  <si>
    <t>+1-478-552-6965</t>
  </si>
  <si>
    <t>+1-478-232-0959</t>
  </si>
  <si>
    <t>+1-404-498-8500</t>
  </si>
  <si>
    <t>+1-706-272-4452</t>
  </si>
  <si>
    <t>+1-770-387-2774</t>
  </si>
  <si>
    <t>+1-706-632-2144</t>
  </si>
  <si>
    <t>+1-770-258-2176</t>
  </si>
  <si>
    <t>+1-912-682-9003</t>
  </si>
  <si>
    <t>+1-770-755-3313</t>
  </si>
  <si>
    <t>+1-706-353-1820</t>
  </si>
  <si>
    <t>+1-912-651-6840</t>
  </si>
  <si>
    <t>+1-770-426-4982</t>
  </si>
  <si>
    <t>+1-770-498-8816</t>
  </si>
  <si>
    <t>+1-706-367-5307</t>
  </si>
  <si>
    <t>+1-706-282-5055</t>
  </si>
  <si>
    <t>+1-404-373-1088</t>
  </si>
  <si>
    <t>+1-678-449-3939</t>
  </si>
  <si>
    <t>+1-770-535-1976</t>
  </si>
  <si>
    <t>+1-706-283-2551</t>
  </si>
  <si>
    <t>+1-678-492-3161</t>
  </si>
  <si>
    <t>+1-770-607-2017</t>
  </si>
  <si>
    <t>+1-478-825-5986</t>
  </si>
  <si>
    <t>+1-706-746-5828</t>
  </si>
  <si>
    <t>+1-706-769-5876</t>
  </si>
  <si>
    <t>+1-478-445-2395</t>
  </si>
  <si>
    <t>+1-478-445-4572</t>
  </si>
  <si>
    <t>+1-912-478-5444</t>
  </si>
  <si>
    <t>+1-478-742-8155</t>
  </si>
  <si>
    <t>+1-478-453-1803</t>
  </si>
  <si>
    <t>+1-706-276-1861</t>
  </si>
  <si>
    <t>+1-912-551-9030</t>
  </si>
  <si>
    <t>+1-706-595-7777</t>
  </si>
  <si>
    <t>+1-770-834-9149</t>
  </si>
  <si>
    <t>+1-706-322-0756</t>
  </si>
  <si>
    <t>+1-229-226-5029</t>
  </si>
  <si>
    <t>+1-912-379-9303</t>
  </si>
  <si>
    <t>+1-470-578-2083</t>
  </si>
  <si>
    <t>+1-478-272-9242</t>
  </si>
  <si>
    <t>+1-770-794-5466</t>
  </si>
  <si>
    <t>+1-770-794-5710</t>
  </si>
  <si>
    <t>+1-478-994-5070</t>
  </si>
  <si>
    <t>+1-229-890-1626</t>
  </si>
  <si>
    <t>+1-770-297-5900</t>
  </si>
  <si>
    <t>+1-404-364-8555</t>
  </si>
  <si>
    <t>+1-912-496-2536</t>
  </si>
  <si>
    <t>+1-770-748-4828</t>
  </si>
  <si>
    <t>+1-912-977-6099</t>
  </si>
  <si>
    <t>+1-706-485-7701</t>
  </si>
  <si>
    <t>+1-706-235-8051</t>
  </si>
  <si>
    <t>+1-912-882-2782</t>
  </si>
  <si>
    <t>+1-404-752-7578</t>
  </si>
  <si>
    <t>+1-912-358-4324</t>
  </si>
  <si>
    <t>+1-706-367-2949</t>
  </si>
  <si>
    <t>+1-912-232-1511</t>
  </si>
  <si>
    <t>+1-706-233-7296</t>
  </si>
  <si>
    <t>+1-770-919-0248</t>
  </si>
  <si>
    <t>+1-678-631-5423</t>
  </si>
  <si>
    <t>+1-404-378-3153</t>
  </si>
  <si>
    <t>+1-706-342-7557</t>
  </si>
  <si>
    <t>+1-706-485-3156</t>
  </si>
  <si>
    <t>+1-229-382-3600</t>
  </si>
  <si>
    <t>+1-229-382-1500</t>
  </si>
  <si>
    <t>+1-706-485-6856</t>
  </si>
  <si>
    <t>+1-706-876-1571</t>
  </si>
  <si>
    <t>+1-706-940-0057</t>
  </si>
  <si>
    <t>+1-706-278-0217</t>
  </si>
  <si>
    <t>+1-404-727-6887</t>
  </si>
  <si>
    <t>+1-404-885-7800</t>
  </si>
  <si>
    <t>+1-706-542-5788</t>
  </si>
  <si>
    <t>+1-404-894-5726</t>
  </si>
  <si>
    <t>+1-706-678-2226</t>
  </si>
  <si>
    <t>+1-404-978-2000</t>
  </si>
  <si>
    <t>+1-404-727-8727</t>
  </si>
  <si>
    <t>+1-770-992-1665</t>
  </si>
  <si>
    <t>+1-912-651-6823</t>
  </si>
  <si>
    <t>+1-770-431-2860</t>
  </si>
  <si>
    <t>+1-912-257-2223</t>
  </si>
  <si>
    <t>+1-770-476-2013</t>
  </si>
  <si>
    <t>+1-404-874-7244</t>
  </si>
  <si>
    <t>+1-770-427-2117</t>
  </si>
  <si>
    <t>+1-404-270-5607</t>
  </si>
  <si>
    <t>+1-404-817-7267</t>
  </si>
  <si>
    <t>+1-770-473-0197</t>
  </si>
  <si>
    <t>+1-912-637-5274</t>
  </si>
  <si>
    <t>+1-404-806-7288</t>
  </si>
  <si>
    <t>+1-770-732-5871</t>
  </si>
  <si>
    <t>+1-706-369-3513</t>
  </si>
  <si>
    <t>+1-706-754-7981</t>
  </si>
  <si>
    <t>+1-470-254-6339</t>
  </si>
  <si>
    <t>+1-770-606-5700</t>
  </si>
  <si>
    <t>+1-706-337-3110</t>
  </si>
  <si>
    <t>+1-770-683-1347</t>
  </si>
  <si>
    <t>+1-706-545-4911</t>
  </si>
  <si>
    <t>+1-706-795-5597</t>
  </si>
  <si>
    <t>+1-706-769-3950</t>
  </si>
  <si>
    <t>+1-706-743-8817</t>
  </si>
  <si>
    <t>+1-404-730-1700</t>
  </si>
  <si>
    <t>+1-404-730-1185</t>
  </si>
  <si>
    <t>+1-404-613-5722</t>
  </si>
  <si>
    <t>+1-404-613-4402</t>
  </si>
  <si>
    <t>+1-404-814-3508</t>
  </si>
  <si>
    <t>+1-404-613-5771</t>
  </si>
  <si>
    <t>+1-706-821-2600</t>
  </si>
  <si>
    <t>+1-706-793-2020</t>
  </si>
  <si>
    <t>+1-770-382-4203</t>
  </si>
  <si>
    <t>+1-706-243-2669</t>
  </si>
  <si>
    <t>+1-229-887-2103</t>
  </si>
  <si>
    <t>+1-706-866-1368</t>
  </si>
  <si>
    <t>+1-770-472-8100</t>
  </si>
  <si>
    <t>+1-770-801-5320</t>
  </si>
  <si>
    <t>+1-404-241-1668</t>
  </si>
  <si>
    <t>+1-770-528-2677</t>
  </si>
  <si>
    <t>+1-770-528-2522</t>
  </si>
  <si>
    <t>+1-770-801-5330</t>
  </si>
  <si>
    <t>+1-229-420-3200</t>
  </si>
  <si>
    <t>+1-229-420-3270</t>
  </si>
  <si>
    <t>+1-229-420-3260</t>
  </si>
  <si>
    <t>+1-478-994-7025</t>
  </si>
  <si>
    <t>+1-706-554-3277</t>
  </si>
  <si>
    <t>+1-478-987-3050</t>
  </si>
  <si>
    <t>+1-229-835-2012</t>
  </si>
  <si>
    <t>+1-229-768-2248</t>
  </si>
  <si>
    <t>+1-229-924-8091</t>
  </si>
  <si>
    <t>+1-229-889-0300</t>
  </si>
  <si>
    <t>+1-229-846-6625</t>
  </si>
  <si>
    <t>+1-912-652-3600</t>
  </si>
  <si>
    <t>+1-912-651-0942</t>
  </si>
  <si>
    <t>+1-912-368-4003</t>
  </si>
  <si>
    <t>+1-912-897-4061</t>
  </si>
  <si>
    <t>+1-912-748-6979</t>
  </si>
  <si>
    <t>+1-912-965-0102</t>
  </si>
  <si>
    <t>+1-912-826-2222</t>
  </si>
  <si>
    <t>+1-912-786-7733</t>
  </si>
  <si>
    <t>+1-912-644-5903</t>
  </si>
  <si>
    <t>+1-478-628-5352</t>
  </si>
  <si>
    <t>+1-478-472-6095</t>
  </si>
  <si>
    <t>+1-478-472-7116</t>
  </si>
  <si>
    <t>+1-478-300-6744</t>
  </si>
  <si>
    <t>+1-706-379-3732</t>
  </si>
  <si>
    <t>+1-706-896-6169</t>
  </si>
  <si>
    <t>+1-706-745-7491</t>
  </si>
  <si>
    <t>+1-478-841-9394</t>
  </si>
  <si>
    <t>+1-912-583-2780</t>
  </si>
  <si>
    <t>+1-478-825-1640</t>
  </si>
  <si>
    <t>+1-770-513-2925</t>
  </si>
  <si>
    <t>+1-706-335-5946</t>
  </si>
  <si>
    <t>+1-706-367-8012</t>
  </si>
  <si>
    <t>+1-706-846-3851</t>
  </si>
  <si>
    <t>+1-770-926-5859</t>
  </si>
  <si>
    <t>+1-229-333-0086</t>
  </si>
  <si>
    <t>+1-912-739-1801</t>
  </si>
  <si>
    <t>+1-912-653-2822</t>
  </si>
  <si>
    <t>+1-912-756-3580</t>
  </si>
  <si>
    <t>+1-912-764-1341</t>
  </si>
  <si>
    <t>+1-229-225-5252</t>
  </si>
  <si>
    <t>+1-912-882-4800</t>
  </si>
  <si>
    <t>+1-912-427-2500</t>
  </si>
  <si>
    <t>+1-706-628-4685</t>
  </si>
  <si>
    <t>+1-706-453-7276</t>
  </si>
  <si>
    <t>+1-706-342-1206</t>
  </si>
  <si>
    <t>+1-678-853-9047</t>
  </si>
  <si>
    <t>+1-478-986-6626</t>
  </si>
  <si>
    <t>+1-229-246-2124</t>
  </si>
  <si>
    <t>+1-912-389-3461</t>
  </si>
  <si>
    <t>+1-706-724-3576</t>
  </si>
  <si>
    <t>+1-706-638-5187</t>
  </si>
  <si>
    <t>+1-404-310-8727</t>
  </si>
  <si>
    <t>+1-770-534-6263</t>
  </si>
  <si>
    <t>+1-770-345-3288</t>
  </si>
  <si>
    <t>+1-404-613-8000</t>
  </si>
  <si>
    <t>+1-478-757-8900</t>
  </si>
  <si>
    <t>+1-678-342-9758</t>
  </si>
  <si>
    <t>+1-706-742-8600</t>
  </si>
  <si>
    <t>+1-229-649-6385</t>
  </si>
  <si>
    <t>+1-706-863-1946</t>
  </si>
  <si>
    <t>+1-706-359-4014</t>
  </si>
  <si>
    <t>+1-912-644-5932</t>
  </si>
  <si>
    <t>+1-478-743-8544</t>
  </si>
  <si>
    <t>+1-706-245-1825</t>
  </si>
  <si>
    <t>+1-912-786-5801</t>
  </si>
  <si>
    <t>+1-678-222-3700</t>
  </si>
  <si>
    <t>+1-912-353-3023</t>
  </si>
  <si>
    <t>+1-912-472-5045</t>
  </si>
  <si>
    <t>+1-912-786-5917</t>
  </si>
  <si>
    <t>+1-912-598-2400</t>
  </si>
  <si>
    <t>+1-912-401-0663</t>
  </si>
  <si>
    <t>+1-912-355-3883</t>
  </si>
  <si>
    <t>+1-912-351-0836</t>
  </si>
  <si>
    <t>+1-912-525-4700</t>
  </si>
  <si>
    <t>+1-912-232-8200</t>
  </si>
  <si>
    <t>+1-912-525-5100</t>
  </si>
  <si>
    <t>+1-912-335-8868</t>
  </si>
  <si>
    <t>+1-912-921-5460</t>
  </si>
  <si>
    <t>+1-912-748-8068</t>
  </si>
  <si>
    <t>+1-912-238-3263</t>
  </si>
  <si>
    <t>+1-912-201-4070</t>
  </si>
  <si>
    <t>+1-912-727-2339</t>
  </si>
  <si>
    <t>+1-912-632-8450</t>
  </si>
  <si>
    <t>+1-770-475-4663</t>
  </si>
  <si>
    <t>+1-912-537-1911</t>
  </si>
  <si>
    <t>+1-229-787-5722</t>
  </si>
  <si>
    <t>+1-229-924-2558</t>
  </si>
  <si>
    <t>+1-229-732-5956</t>
  </si>
  <si>
    <t>+1-912-367-8133</t>
  </si>
  <si>
    <t>+1-404-978-2052</t>
  </si>
  <si>
    <t>+1-910-570-8180</t>
  </si>
  <si>
    <t>+1-229-567-9696</t>
  </si>
  <si>
    <t>+1-706-355-5020</t>
  </si>
  <si>
    <t>+1-706-353-1801</t>
  </si>
  <si>
    <t>+1-404-730-1896</t>
  </si>
  <si>
    <t>+1-404-688-3353</t>
  </si>
  <si>
    <t>+1-706-722-4073</t>
  </si>
  <si>
    <t>+1-706-737-1532</t>
  </si>
  <si>
    <t>+1-706-826-1511</t>
  </si>
  <si>
    <t>+1-770-944-4309</t>
  </si>
  <si>
    <t>+1-770-948-4909</t>
  </si>
  <si>
    <t>+1-678-971-9390</t>
  </si>
  <si>
    <t>+1-706-777-8608</t>
  </si>
  <si>
    <t>+1-678-839-6141</t>
  </si>
  <si>
    <t>+1-770-382-3818</t>
  </si>
  <si>
    <t>+1-770-358-0150</t>
  </si>
  <si>
    <t>+1-770-307-1183</t>
  </si>
  <si>
    <t>+1-770-606-0706</t>
  </si>
  <si>
    <t>+1-404-627-2681</t>
  </si>
  <si>
    <t>+1-706-402-1195</t>
  </si>
  <si>
    <t>+1-706-565-1200</t>
  </si>
  <si>
    <t>+1-404-920-7800</t>
  </si>
  <si>
    <t>+1-912-576-5841</t>
  </si>
  <si>
    <t>+1-706-896-2556</t>
  </si>
  <si>
    <t>+1-706-243-2681</t>
  </si>
  <si>
    <t>+1-706-695-2598</t>
  </si>
  <si>
    <t>+1-706-663-4044</t>
  </si>
  <si>
    <t>+1-404-382-2250</t>
  </si>
  <si>
    <t>+1-912-651-6412</t>
  </si>
  <si>
    <t>+1-678-466-4333</t>
  </si>
  <si>
    <t>+1-912-634-7098</t>
  </si>
  <si>
    <t>+1-386-397-4506</t>
  </si>
  <si>
    <t>+1-770-528-2010</t>
  </si>
  <si>
    <t>+1-770-427-2563</t>
  </si>
  <si>
    <t>+1-404-872-1668</t>
  </si>
  <si>
    <t>+1-229-985-3763</t>
  </si>
  <si>
    <t>+1-404-687-4610</t>
  </si>
  <si>
    <t>+1-706-507-8672</t>
  </si>
  <si>
    <t>+1-229-896-2417</t>
  </si>
  <si>
    <t>+1-706-965-1137</t>
  </si>
  <si>
    <t>+1-470-215-1966</t>
  </si>
  <si>
    <t>+1-423-454-9750</t>
  </si>
  <si>
    <t>+1-706-482-2708</t>
  </si>
  <si>
    <t>+1-706-272-4583</t>
  </si>
  <si>
    <t>+1-706-265-3985</t>
  </si>
  <si>
    <t>+1-770-403-1795</t>
  </si>
  <si>
    <t>+1-706-769-5197</t>
  </si>
  <si>
    <t>+1-229-723-4977</t>
  </si>
  <si>
    <t>+1-229-724-7222</t>
  </si>
  <si>
    <t>+1-478-237-2592</t>
  </si>
  <si>
    <t>+1-478-763-3631</t>
  </si>
  <si>
    <t>+1-478-289-2083</t>
  </si>
  <si>
    <t>+1-404-767-4656</t>
  </si>
  <si>
    <t>+1-706-283-8500</t>
  </si>
  <si>
    <t>+1-404-335-6395</t>
  </si>
  <si>
    <t>+1-706-359-3458</t>
  </si>
  <si>
    <t>+1-770-606-8862</t>
  </si>
  <si>
    <t>+1-912-663-0398</t>
  </si>
  <si>
    <t>+1-770-461-9270</t>
  </si>
  <si>
    <t>+1-404-634-9866</t>
  </si>
  <si>
    <t>+1-706-545-5661</t>
  </si>
  <si>
    <t>+1-912-767-7885</t>
  </si>
  <si>
    <t>+1-478-825-6753</t>
  </si>
  <si>
    <t>+1-706-356-0565</t>
  </si>
  <si>
    <t>+1-770-954-1456</t>
  </si>
  <si>
    <t>+1-770-455-0404</t>
  </si>
  <si>
    <t>+1-404-463-4536</t>
  </si>
  <si>
    <t>+1-478-445-4047</t>
  </si>
  <si>
    <t>+1-404-962-4837</t>
  </si>
  <si>
    <t>+1-678-407-5995</t>
  </si>
  <si>
    <t>+1-404-894-4586</t>
  </si>
  <si>
    <t>+1-404-657-1452</t>
  </si>
  <si>
    <t>+1-706-646-6173</t>
  </si>
  <si>
    <t>+1-229-377-5142</t>
  </si>
  <si>
    <t>+1-706-453-7674</t>
  </si>
  <si>
    <t>+1-770-412-4755</t>
  </si>
  <si>
    <t>+1-770-229-2432</t>
  </si>
  <si>
    <t>+1-912-882-4587</t>
  </si>
  <si>
    <t>+1-706-524-1311</t>
  </si>
  <si>
    <t>+1-404-413-2880</t>
  </si>
  <si>
    <t>+1-912-510-4003</t>
  </si>
  <si>
    <t>+1-912-685-2450</t>
  </si>
  <si>
    <t>+1-706-935-5232</t>
  </si>
  <si>
    <t>+1-912-772-4668</t>
  </si>
  <si>
    <t>+1-770-822-5174</t>
  </si>
  <si>
    <t>+1-770-822-5178</t>
  </si>
  <si>
    <t>+1-706-499-8842</t>
  </si>
  <si>
    <t>+1-229-251-5996</t>
  </si>
  <si>
    <t>+1-404-669-2175</t>
  </si>
  <si>
    <t>+1-706-376-4468</t>
  </si>
  <si>
    <t>+1-404-851-9111</t>
  </si>
  <si>
    <t>+1-706-724-0436</t>
  </si>
  <si>
    <t>+1-912-754-2170</t>
  </si>
  <si>
    <t>+1-706-338-2898</t>
  </si>
  <si>
    <t>+1-912-233-7787</t>
  </si>
  <si>
    <t>+1-678-455-7260</t>
  </si>
  <si>
    <t>+1-770-267-6663</t>
  </si>
  <si>
    <t>+1-770-794-3151</t>
  </si>
  <si>
    <t>+1-912-487-2310</t>
  </si>
  <si>
    <t>+1-770-504-2277</t>
  </si>
  <si>
    <t>+1-706-378-1718</t>
  </si>
  <si>
    <t>+1-678-580-2166</t>
  </si>
  <si>
    <t>+1-229-931-2259</t>
  </si>
  <si>
    <t>+1-404-814-4040</t>
  </si>
  <si>
    <t>+1-478-252-5698</t>
  </si>
  <si>
    <t>+1-706-295-6845</t>
  </si>
  <si>
    <t>+1-706-269-3630</t>
  </si>
  <si>
    <t>+1-478-232-5913</t>
  </si>
  <si>
    <t>+1-470-578-6289</t>
  </si>
  <si>
    <t>+1-706-378-1781</t>
  </si>
  <si>
    <t>+1-404-526-8983</t>
  </si>
  <si>
    <t>+1-229-724-2150</t>
  </si>
  <si>
    <t>+1-706-882-3267</t>
  </si>
  <si>
    <t>+1-706-880-8312</t>
  </si>
  <si>
    <t>+1-404-373-6327</t>
  </si>
  <si>
    <t>+1-770-594-1706</t>
  </si>
  <si>
    <t>+1-706-864-1889</t>
  </si>
  <si>
    <t>+1-757-831-9556</t>
  </si>
  <si>
    <t>+1-770-539-9005</t>
  </si>
  <si>
    <t>+1-706-864-6684</t>
  </si>
  <si>
    <t>+1-770-819-3285</t>
  </si>
  <si>
    <t>+1-478-472-8111</t>
  </si>
  <si>
    <t>+1-478-471-2709</t>
  </si>
  <si>
    <t>+1-770-597-6052</t>
  </si>
  <si>
    <t>+1-912-395-5070</t>
  </si>
  <si>
    <t>+1-912-344-3019</t>
  </si>
  <si>
    <t>+1-912-638-4050</t>
  </si>
  <si>
    <t>+1-706-342-9191</t>
  </si>
  <si>
    <t>+1-706-342-9627</t>
  </si>
  <si>
    <t>+1-706-343-6271</t>
  </si>
  <si>
    <t>+1-478-445-4391</t>
  </si>
  <si>
    <t>+1-706-595-9923</t>
  </si>
  <si>
    <t>+1-912-236-6352</t>
  </si>
  <si>
    <t>+1-912-884-5837</t>
  </si>
  <si>
    <t>+1-478-301-2961</t>
  </si>
  <si>
    <t>+1-478-301-4056</t>
  </si>
  <si>
    <t>+1-478-744-0821</t>
  </si>
  <si>
    <t>+1-678-618-3707</t>
  </si>
  <si>
    <t>+1-678-421-2048</t>
  </si>
  <si>
    <t>+1-404-364-8511</t>
  </si>
  <si>
    <t>+1-912-285-4260</t>
  </si>
  <si>
    <t>+1-678-850-6506</t>
  </si>
  <si>
    <t>+1-487-251-6745</t>
  </si>
  <si>
    <t>+1-770-784-8380</t>
  </si>
  <si>
    <t>+1-706-821-8200</t>
  </si>
  <si>
    <t>+1-678-318-1394</t>
  </si>
  <si>
    <t>+1-706-776-0111</t>
  </si>
  <si>
    <t>+1-678-840-1445</t>
  </si>
  <si>
    <t>+1-478-892-3460</t>
  </si>
  <si>
    <t>+1-229-263-6000</t>
  </si>
  <si>
    <t>+1-706-782-5292</t>
  </si>
  <si>
    <t>+1-770-785-9888</t>
  </si>
  <si>
    <t>+1-770-922-3740</t>
  </si>
  <si>
    <t>+1-478-553-2070</t>
  </si>
  <si>
    <t>+1-706-436-3156</t>
  </si>
  <si>
    <t>+1-229-937-2116</t>
  </si>
  <si>
    <t>+1-678-626-0799</t>
  </si>
  <si>
    <t>+1-866-728-4642</t>
  </si>
  <si>
    <t>+1-229-420-3218</t>
  </si>
  <si>
    <t>+1-912-285-4056</t>
  </si>
  <si>
    <t>+1-404-270-5533</t>
  </si>
  <si>
    <t>+1-470-578-7276</t>
  </si>
  <si>
    <t>+1-706-817-3655</t>
  </si>
  <si>
    <t>+1-229-886-9612</t>
  </si>
  <si>
    <t>+1-706-566-7268</t>
  </si>
  <si>
    <t>+1-478-934-3179</t>
  </si>
  <si>
    <t>+1-229-227-6959</t>
  </si>
  <si>
    <t>+1-706-646-2437</t>
  </si>
  <si>
    <t>+1-229-226-9640</t>
  </si>
  <si>
    <t>+1-229-226-6016</t>
  </si>
  <si>
    <t>+1-706-886-2256</t>
  </si>
  <si>
    <t>+1-706-745-5493</t>
  </si>
  <si>
    <t>+1-912-463-2700</t>
  </si>
  <si>
    <t>+1-706-542-4757</t>
  </si>
  <si>
    <t>+1-678-839-6502</t>
  </si>
  <si>
    <t>+1-229-259-3563</t>
  </si>
  <si>
    <t>+1-912-236-1894</t>
  </si>
  <si>
    <t>+1-706-764-2801</t>
  </si>
  <si>
    <t>+1-706-353-8401</t>
  </si>
  <si>
    <t>+1-706-678-5001</t>
  </si>
  <si>
    <t>+1-770-574-3125</t>
  </si>
  <si>
    <t>+1-706-865-3225</t>
  </si>
  <si>
    <t>+1-478-757-5274</t>
  </si>
  <si>
    <t>+1-912-260-4200</t>
  </si>
  <si>
    <t>+1-912-383-9111</t>
  </si>
  <si>
    <t>+1-706-597-8056</t>
  </si>
  <si>
    <t>+1-770-923-7725</t>
  </si>
  <si>
    <t>+1-706-379-4313</t>
  </si>
  <si>
    <t>+1-706-554-2138</t>
  </si>
  <si>
    <t>+1-912-449-7515</t>
  </si>
  <si>
    <t>+1-912-800-1467</t>
  </si>
  <si>
    <t>+1-678-717-3653</t>
  </si>
  <si>
    <t>+1-478-275-6772</t>
  </si>
  <si>
    <t>+1-478-374-6833</t>
  </si>
  <si>
    <t>+1-478-929-6804</t>
  </si>
  <si>
    <t>+1-678-547-6461</t>
  </si>
  <si>
    <t>+1-678-547-6100</t>
  </si>
  <si>
    <t>+1-912-721-8230</t>
  </si>
  <si>
    <t>+1-706-223-5181</t>
  </si>
  <si>
    <t>+1-706-433-0728</t>
  </si>
  <si>
    <t>+1-478-275-6593</t>
  </si>
  <si>
    <t>+1-478-625-1901</t>
  </si>
  <si>
    <t>+1-229-868-3082</t>
  </si>
  <si>
    <t>+1-229-838-6419</t>
  </si>
  <si>
    <t>+1-229-854-3763</t>
  </si>
  <si>
    <t>+1-706-542-8849</t>
  </si>
  <si>
    <t>+1-229-559-5302</t>
  </si>
  <si>
    <t>+1-770-749-0073</t>
  </si>
  <si>
    <t>+1-229-248-3797</t>
  </si>
  <si>
    <t>+1-678-466-4325</t>
  </si>
  <si>
    <t>+1-706-295-6318</t>
  </si>
  <si>
    <t>+1-678-946-1007</t>
  </si>
  <si>
    <t>+1-706-507-8670</t>
  </si>
  <si>
    <t>+1-706-641-5045</t>
  </si>
  <si>
    <t>+1-678-872-8400</t>
  </si>
  <si>
    <t>+1-678-872-4237</t>
  </si>
  <si>
    <t>+1-678-891-3645</t>
  </si>
  <si>
    <t>+1-678-891-2592</t>
  </si>
  <si>
    <t>+1-770-274-5653</t>
  </si>
  <si>
    <t>+1-770-274-5085</t>
  </si>
  <si>
    <t>+1-678-891-2439</t>
  </si>
  <si>
    <t>+1-404-413-9100</t>
  </si>
  <si>
    <t>+1-706-542-3251</t>
  </si>
  <si>
    <t>+1-706-542-0698</t>
  </si>
  <si>
    <t>+1-706-542-7000</t>
  </si>
  <si>
    <t>+1-706-542-0690</t>
  </si>
  <si>
    <t>+1-706-542-2957</t>
  </si>
  <si>
    <t>+1-706-542-1618</t>
  </si>
  <si>
    <t>+1-706-542-2712</t>
  </si>
  <si>
    <t>+1-706-310-6238</t>
  </si>
  <si>
    <t>+1-770-534-6113</t>
  </si>
  <si>
    <t>+1-404-687-4628</t>
  </si>
  <si>
    <t>+1-478-301-2605</t>
  </si>
  <si>
    <t>+1-404-752-1536</t>
  </si>
  <si>
    <t>+1-706-236-1739</t>
  </si>
  <si>
    <t>+1-912-583-2241</t>
  </si>
  <si>
    <t>+1-706-419-1430</t>
  </si>
  <si>
    <t>+1-706-245-2852</t>
  </si>
  <si>
    <t>+1-770-279-0507</t>
  </si>
  <si>
    <t>+1-478-387-4849</t>
  </si>
  <si>
    <t>+1-678-916-2661</t>
  </si>
  <si>
    <t>+1-770-426-2688</t>
  </si>
  <si>
    <t>+1-770-484-1204</t>
  </si>
  <si>
    <t>+1-470-655-6717</t>
  </si>
  <si>
    <t>+1-706-385-1097</t>
  </si>
  <si>
    <t>+1-770-720-9120</t>
  </si>
  <si>
    <t>+1-404-835-6133</t>
  </si>
  <si>
    <t>+1-706-865-2134</t>
  </si>
  <si>
    <t>+1-229-430-1745</t>
  </si>
  <si>
    <t>+1-404-225-4595</t>
  </si>
  <si>
    <t>+1-706-771-4000</t>
  </si>
  <si>
    <t>+1-478-988-6863</t>
  </si>
  <si>
    <t>+1-770-528-4545</t>
  </si>
  <si>
    <t>+1-912-287-6655</t>
  </si>
  <si>
    <t>+1-912-427-1929</t>
  </si>
  <si>
    <t>+1-912-379-0041</t>
  </si>
  <si>
    <t>+1-912-262-4314</t>
  </si>
  <si>
    <t>+1-912-367-1700</t>
  </si>
  <si>
    <t>+1-912-632-0951</t>
  </si>
  <si>
    <t>+1-706-649-1852</t>
  </si>
  <si>
    <t>+1-706-764-3533</t>
  </si>
  <si>
    <t>+1-404-727-6816</t>
  </si>
  <si>
    <t>+1-706-272-2941</t>
  </si>
  <si>
    <t>+1-404-297-9522</t>
  </si>
  <si>
    <t>+1-470-282-5396</t>
  </si>
  <si>
    <t>+1-770-962-7580</t>
  </si>
  <si>
    <t>+1-770-533-7000</t>
  </si>
  <si>
    <t>+1-678-341-6600</t>
  </si>
  <si>
    <t>+1-770-297-4500</t>
  </si>
  <si>
    <t>+1-706-216-5461</t>
  </si>
  <si>
    <t>+1-706-335-1931</t>
  </si>
  <si>
    <t>+1-706-439-6326</t>
  </si>
  <si>
    <t>+1-706-754-7720</t>
  </si>
  <si>
    <t>+1-706-779-8114</t>
  </si>
  <si>
    <t>+1-912-871-1886</t>
  </si>
  <si>
    <t>+1-912-443-5700</t>
  </si>
  <si>
    <t>+1-912-408-3024</t>
  </si>
  <si>
    <t>+1-912-443-4100</t>
  </si>
  <si>
    <t>+1-229-931-2394</t>
  </si>
  <si>
    <t>+1-229-271-4040</t>
  </si>
  <si>
    <t>+1-229-378-2906</t>
  </si>
  <si>
    <t>+1-770-836-4711</t>
  </si>
  <si>
    <t>+1-770-755-7844</t>
  </si>
  <si>
    <t>+1-770-947-7238</t>
  </si>
  <si>
    <t>+1-229-391-2623</t>
  </si>
  <si>
    <t>+1-706-756-4557</t>
  </si>
  <si>
    <t>+1-229-468-2000</t>
  </si>
  <si>
    <t>+1-912-389-4303</t>
  </si>
  <si>
    <t>+1-229-549-7830</t>
  </si>
  <si>
    <t>+1-229-333-2100</t>
  </si>
  <si>
    <t>+1-912-538-3132</t>
  </si>
  <si>
    <t>+1-478-289-2322</t>
  </si>
  <si>
    <t>+1-229-225-3958</t>
  </si>
  <si>
    <t>+1-229-217-4208</t>
  </si>
  <si>
    <t>+1-229-891-7020</t>
  </si>
  <si>
    <t>+1-770-537-6066</t>
  </si>
  <si>
    <t>+1-706-556-6629</t>
  </si>
  <si>
    <t>+1-912-412-4687</t>
  </si>
  <si>
    <t>+1-404-467-9447</t>
  </si>
  <si>
    <t>+1-706-745-2034</t>
  </si>
  <si>
    <t>+1-770-233-4130</t>
  </si>
  <si>
    <t>+1-770-983-9064</t>
  </si>
  <si>
    <t>+1-229-247-6249</t>
  </si>
  <si>
    <t>+1-706-531-6688</t>
  </si>
  <si>
    <t>+1-706-321-8285</t>
  </si>
  <si>
    <t>+1-678-454-5477</t>
  </si>
  <si>
    <t>+1-912-651-1440</t>
  </si>
  <si>
    <t>+1-912-756-3697</t>
  </si>
  <si>
    <t>+1-678-691-8187</t>
  </si>
  <si>
    <t>+1-912-238-4570</t>
  </si>
  <si>
    <t>+1-912-557-6049</t>
  </si>
  <si>
    <t>+1-404-587-3182</t>
  </si>
  <si>
    <t>+1-912-260-4323</t>
  </si>
  <si>
    <t>+1-470-239-3039</t>
  </si>
  <si>
    <t>+1-770-358-5063</t>
  </si>
  <si>
    <t>+1-912-485-2299</t>
  </si>
  <si>
    <t>+1-706-878-1077</t>
  </si>
  <si>
    <t>+1-770-975-0055</t>
  </si>
  <si>
    <t>+1-706-629-4435</t>
  </si>
  <si>
    <t>+1-912-559-2391</t>
  </si>
  <si>
    <t>+1-770-922-3143</t>
  </si>
  <si>
    <t>+1-404-733-4400</t>
  </si>
  <si>
    <t>+1-404-639-0830</t>
  </si>
  <si>
    <t>+1-478-763-2621</t>
  </si>
  <si>
    <t>+1-912-326-1941</t>
  </si>
  <si>
    <t>+1-770-206-1558</t>
  </si>
  <si>
    <t>+1-770-897-0444</t>
  </si>
  <si>
    <t>+1-706-829-6825</t>
  </si>
  <si>
    <t>+1-770-919-5700</t>
  </si>
  <si>
    <t>+1-478-297-7838</t>
  </si>
  <si>
    <t>+1-770-358-5855</t>
  </si>
  <si>
    <t>+1-678-425-9948</t>
  </si>
  <si>
    <t>+1-706-885-0363</t>
  </si>
  <si>
    <t>+1-706-629-4731</t>
  </si>
  <si>
    <t>+1-706-581-2124</t>
  </si>
  <si>
    <t>+1-770-794-5607</t>
  </si>
  <si>
    <t>+1-770-427-2500</t>
  </si>
  <si>
    <t>+1-706-554-4889</t>
  </si>
  <si>
    <t>+1-770-555-1212</t>
  </si>
  <si>
    <t>+1-770-386-7575</t>
  </si>
  <si>
    <t>+1-423-745-1800</t>
  </si>
  <si>
    <t>+1-912-414-6631</t>
  </si>
  <si>
    <t>+1-706-989-3554</t>
  </si>
  <si>
    <t>+1-706-507-3466</t>
  </si>
  <si>
    <t>+1-678-364-1110</t>
  </si>
  <si>
    <t>+1-770-683-0924</t>
  </si>
  <si>
    <t>+1-706-507-8549</t>
  </si>
  <si>
    <t>+1-770-924-0406</t>
  </si>
  <si>
    <t>+1-478-374-1921</t>
  </si>
  <si>
    <t>+1-912-748-8884</t>
  </si>
  <si>
    <t>+1-706-258-2645</t>
  </si>
  <si>
    <t>+1-770-885-8330</t>
  </si>
  <si>
    <t>+1-478-472-2391</t>
  </si>
  <si>
    <t>+1-770-287-7721</t>
  </si>
  <si>
    <t>+1-229-268-4920</t>
  </si>
  <si>
    <t>+1-706-991-5119</t>
  </si>
  <si>
    <t>+1-706-641-5933</t>
  </si>
  <si>
    <t>+1-770-794-5576</t>
  </si>
  <si>
    <t>+1-706-868-6338</t>
  </si>
  <si>
    <t>+1-706-778-7123</t>
  </si>
  <si>
    <t>+1-770-574-2482</t>
  </si>
  <si>
    <t>+1-404-831-9740</t>
  </si>
  <si>
    <t>+1-706-315-5602</t>
  </si>
  <si>
    <t>+1-770-448-2122</t>
  </si>
  <si>
    <t>+1-678-250-5992</t>
  </si>
  <si>
    <t>+1-706-250-1377</t>
  </si>
  <si>
    <t>+1-706-408-4448</t>
  </si>
  <si>
    <t>+1-770-478-3800</t>
  </si>
  <si>
    <t>+1-706-716-0030</t>
  </si>
  <si>
    <t>+1-706-778-2001</t>
  </si>
  <si>
    <t>+1-678-635-8997</t>
  </si>
  <si>
    <t>+1-770-945-4559</t>
  </si>
  <si>
    <t>+1-770-735-2211</t>
  </si>
  <si>
    <t>+1-407-207-5025</t>
  </si>
  <si>
    <t>+1-706-434-4000</t>
  </si>
  <si>
    <t>+1-706-975-9136</t>
  </si>
  <si>
    <t>+1-706-465-1169</t>
  </si>
  <si>
    <t>+1-478-719-0990</t>
  </si>
  <si>
    <t>+1-404-219-9938</t>
  </si>
  <si>
    <t>+1-478-224-4442</t>
  </si>
  <si>
    <t>+1-770-841-9268</t>
  </si>
  <si>
    <t>+1-770-478-4800</t>
  </si>
  <si>
    <t>+1-912-884-7008</t>
  </si>
  <si>
    <t>+1-678-508-9478</t>
  </si>
  <si>
    <t>+1-404-213-0127</t>
  </si>
  <si>
    <t>+1-855-766-6285</t>
  </si>
  <si>
    <t>+1-770-498-4155</t>
  </si>
  <si>
    <t>+1-470-254-8015</t>
  </si>
  <si>
    <t>+1-770-434-7930</t>
  </si>
  <si>
    <t>+1-706-375-9863</t>
  </si>
  <si>
    <t>+1-706-866-4069</t>
  </si>
  <si>
    <t>+1-706-722-9828</t>
  </si>
  <si>
    <t>+1-404-969-2787</t>
  </si>
  <si>
    <t>+1-678-625-9788</t>
  </si>
  <si>
    <t>+1-800-336-3768</t>
  </si>
  <si>
    <t>+1-404-733-4900</t>
  </si>
  <si>
    <t>+1-404-881-2003</t>
  </si>
  <si>
    <t>+1-864-571-0597</t>
  </si>
  <si>
    <t>+1-706-826-4702</t>
  </si>
  <si>
    <t>+1-478-743-6940</t>
  </si>
  <si>
    <t>+1-229-391-4895</t>
  </si>
  <si>
    <t>+1-912-638-8770</t>
  </si>
  <si>
    <t>+1-229-758-5450</t>
  </si>
  <si>
    <t>+1-706-649-1477</t>
  </si>
  <si>
    <t>+1-770-534-2787</t>
  </si>
  <si>
    <t>+1-770-382-3392</t>
  </si>
  <si>
    <t>+1-229-438-3901</t>
  </si>
  <si>
    <t>+1-404-253-3132</t>
  </si>
  <si>
    <t>+1-706-542-8292</t>
  </si>
  <si>
    <t>+1-706-305-4859</t>
  </si>
  <si>
    <t>+1-706-478-2738</t>
  </si>
  <si>
    <t>+1-678-379-1399</t>
  </si>
  <si>
    <t>+1-678-846-9631</t>
  </si>
  <si>
    <t>+1-229-269-4819</t>
  </si>
  <si>
    <t>+1-478-225-4984</t>
  </si>
  <si>
    <t>+1-770-822-8575</t>
  </si>
  <si>
    <t>+1-912-551-4054</t>
  </si>
  <si>
    <t>+1-912-748-0970</t>
  </si>
  <si>
    <t>+1-912-234-2180</t>
  </si>
  <si>
    <t>+1-912-652-6780</t>
  </si>
  <si>
    <t>+1-912-966-7777</t>
  </si>
  <si>
    <t>+1-912-748-7261</t>
  </si>
  <si>
    <t>+1-912-964-4379</t>
  </si>
  <si>
    <t>+1-912-354-5533</t>
  </si>
  <si>
    <t>+1-912-786-4573</t>
  </si>
  <si>
    <t>+1-912-790-1685</t>
  </si>
  <si>
    <t>+1-770-594-6405</t>
  </si>
  <si>
    <t>+1-404-727-6618</t>
  </si>
  <si>
    <t>+1-478-471-2801</t>
  </si>
  <si>
    <t>+1-229-226-3010</t>
  </si>
  <si>
    <t>+1-229-226-8821</t>
  </si>
  <si>
    <t>+1-229-307-0037</t>
  </si>
  <si>
    <t>+1-404-277-1499</t>
  </si>
  <si>
    <t>+1-404-482-2209</t>
  </si>
  <si>
    <t>+1-770-672-0294</t>
  </si>
  <si>
    <t>+1-678-897-0406</t>
  </si>
  <si>
    <t>+1-229-331-1984</t>
  </si>
  <si>
    <t>+1-404-921-9277</t>
  </si>
  <si>
    <t>+1-912-398-0047</t>
  </si>
  <si>
    <t>+1-706-339-2955</t>
  </si>
  <si>
    <t>+1-678-355-8734</t>
  </si>
  <si>
    <t>+1-404-909-1349</t>
  </si>
  <si>
    <t>+1-219-728-1606</t>
  </si>
  <si>
    <t>+1-770-916-2803</t>
  </si>
  <si>
    <t>+1-404-688-2480</t>
  </si>
  <si>
    <t>+1-678-902-2789</t>
  </si>
  <si>
    <t>+1-404-538-1312</t>
  </si>
  <si>
    <t>+1-706-548-1973</t>
  </si>
  <si>
    <t>+1-678-686-0321</t>
  </si>
  <si>
    <t>+1-678-235-4267</t>
  </si>
  <si>
    <t>+1-404-605-0605</t>
  </si>
  <si>
    <t>+1-404-316-6863</t>
  </si>
  <si>
    <t>+1-404-873-3365</t>
  </si>
  <si>
    <t>+1-706-836-4707</t>
  </si>
  <si>
    <t>+1-478-994-0443</t>
  </si>
  <si>
    <t>+1-404-524-4781</t>
  </si>
  <si>
    <t>+1-404-946-6394</t>
  </si>
  <si>
    <t>+1-800-935-0431</t>
  </si>
  <si>
    <t>+1-404-872-5338</t>
  </si>
  <si>
    <t>+1-706-867-8059</t>
  </si>
  <si>
    <t>+1-404-889-9432</t>
  </si>
  <si>
    <t>+1-478-320-2645</t>
  </si>
  <si>
    <t>+1-706-208-0900</t>
  </si>
  <si>
    <t>+1-616-745-1207</t>
  </si>
  <si>
    <t>+1-706-323-5059</t>
  </si>
  <si>
    <t>+1-770-786-8188</t>
  </si>
  <si>
    <t>+1-404-895-9276</t>
  </si>
  <si>
    <t>+1-404-490-1479</t>
  </si>
  <si>
    <t>+1-912-289-7426</t>
  </si>
  <si>
    <t>+1-478-231-1020</t>
  </si>
  <si>
    <t>+1-404-907-0290</t>
  </si>
  <si>
    <t>+1-478-246-7861</t>
  </si>
  <si>
    <t>+1-770-394-3322</t>
  </si>
  <si>
    <t>+1-478-449-8240</t>
  </si>
  <si>
    <t>+1-229-426-5035</t>
  </si>
  <si>
    <t>+1-229-886-6698</t>
  </si>
  <si>
    <t>+1-404-245-5853</t>
  </si>
  <si>
    <t>+1-404-480-3018</t>
  </si>
  <si>
    <t>+1-229-683-0015</t>
  </si>
  <si>
    <t>+1-706-625-3132</t>
  </si>
  <si>
    <t>+1-478-742-2000</t>
  </si>
  <si>
    <t>+1-770-866-0041</t>
  </si>
  <si>
    <t>+1-970-361-7606</t>
  </si>
  <si>
    <t>+1-470-344-4561</t>
  </si>
  <si>
    <t>+1-706-556-6656</t>
  </si>
  <si>
    <t>+1-478-783-1884</t>
  </si>
  <si>
    <t>+1-706-878-3933</t>
  </si>
  <si>
    <t>+1-706-591-8377</t>
  </si>
  <si>
    <t>+1-706-302-6453</t>
  </si>
  <si>
    <t>+1-404-352-4225</t>
  </si>
  <si>
    <t>+1-770-877-1167</t>
  </si>
  <si>
    <t>+1-478-836-4140</t>
  </si>
  <si>
    <t>+1-404-993-5696</t>
  </si>
  <si>
    <t>+1-404-808-1122</t>
  </si>
  <si>
    <t>+1-912-660-2812</t>
  </si>
  <si>
    <t>+1-706-613-3771</t>
  </si>
  <si>
    <t>+1-678-575-0993</t>
  </si>
  <si>
    <t>+1-770-314-8686</t>
  </si>
  <si>
    <t>+1-706-782-4308</t>
  </si>
  <si>
    <t>+1-706-769-4565</t>
  </si>
  <si>
    <t>+1-706-467-6000</t>
  </si>
  <si>
    <t>+1-404-897-1802</t>
  </si>
  <si>
    <t>+1-478-742-5737</t>
  </si>
  <si>
    <t>+1-404-448-2755</t>
  </si>
  <si>
    <t>+1-321-794-4273</t>
  </si>
  <si>
    <t>+1-478-456-8829</t>
  </si>
  <si>
    <t>+1-478-538-8597</t>
  </si>
  <si>
    <t>+1-770-877-1952</t>
  </si>
  <si>
    <t>+1-770-885-5306</t>
  </si>
  <si>
    <t>+1-229-444-5191</t>
  </si>
  <si>
    <t>+1-678-689-8263</t>
  </si>
  <si>
    <t>+1-404-645-1020</t>
  </si>
  <si>
    <t>+1-770-634-1122</t>
  </si>
  <si>
    <t>+1-229-436-0802</t>
  </si>
  <si>
    <t>+1-770-817-6674</t>
  </si>
  <si>
    <t>+1-770-468-1110</t>
  </si>
  <si>
    <t>+1-404-624-4211</t>
  </si>
  <si>
    <t>+1-706-490-0539</t>
  </si>
  <si>
    <t>+1-912-510-9700</t>
  </si>
  <si>
    <t>+1-770-396-1726</t>
  </si>
  <si>
    <t>+1-678-827-3737</t>
  </si>
  <si>
    <t>+1-706-507-8367</t>
  </si>
  <si>
    <t>+1-404-212-0815</t>
  </si>
  <si>
    <t>+1-888-551-0077</t>
  </si>
  <si>
    <t>+1-912-576-1760</t>
  </si>
  <si>
    <t>+1-706-647-1605</t>
  </si>
  <si>
    <t>+1-404-767-4030</t>
  </si>
  <si>
    <t>+1-912-530-8832</t>
  </si>
  <si>
    <t>+1-229-467-2168</t>
  </si>
  <si>
    <t>+1-404-652-0515</t>
  </si>
  <si>
    <t>GPS Coordinates</t>
  </si>
  <si>
    <t>Contact Email address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</si>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</sst>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34" fillId="0" borderId="0" xfId="0" applyNumberFormat="1" applyFont="1" applyAlignment="1">
      <alignment/>
    </xf>
    <xf numFmtId="49" fontId="34" fillId="0" borderId="0" xfId="0" applyNumberFormat="1" applyFont="1" applyAlignment="1">
      <alignment wrapText="1"/>
    </xf>
    <xf numFmtId="0" fontId="28" fillId="0" borderId="0" xfId="52" applyNumberFormat="1" applyAlignment="1">
      <alignment/>
    </xf>
    <xf numFmtId="0" fontId="28" fillId="0" borderId="0" xfId="52" applyNumberForma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mastro\AppData\Roaming\ASAP%20Utilities\resources\ASAP_Utilities_ribbon_en-u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ables/table1.xml><?xml version="1.0" encoding="utf-8"?>
<table xmlns="http://schemas.openxmlformats.org/spreadsheetml/2006/main" id="2" name="Table2" displayName="Table2" ref="A1:IU65536" comment="" totalsRowShown="0">
  <autoFilter ref="A1:IU65536"/>
  <tableColumns count="255">
    <tableColumn id="1" name="Name of Organization"/>
    <tableColumn id="2" name="Street Address"/>
    <tableColumn id="3" name="GPS Coordinates"/>
    <tableColumn id="4" name="Phone Number"/>
    <tableColumn id="5" name="Contact Email address"/>
    <tableColumn id="6" name="Website URL"/>
    <tableColumn id="7" name="Facebook handle"/>
    <tableColumn id="8" name="Twitter handle"/>
    <tableColumn id="10" name="Column1"/>
    <tableColumn id="11" name="Column2"/>
    <tableColumn id="12" name="Column3"/>
    <tableColumn id="13" name="Column4"/>
    <tableColumn id="14" name="Column5"/>
    <tableColumn id="15" name="Column6"/>
    <tableColumn id="16" name="Column7"/>
    <tableColumn id="17" name="Column8"/>
    <tableColumn id="18" name="Column9"/>
    <tableColumn id="19" name="Column10"/>
    <tableColumn id="20" name="Column11"/>
    <tableColumn id="21" name="Column12"/>
    <tableColumn id="22" name="Column13"/>
    <tableColumn id="23" name="Column14"/>
    <tableColumn id="24" name="Column15"/>
    <tableColumn id="25" name="Column16"/>
    <tableColumn id="26" name="Column17"/>
    <tableColumn id="27" name="Column18"/>
    <tableColumn id="28" name="Column19"/>
    <tableColumn id="29" name="Column20"/>
    <tableColumn id="30" name="Column21"/>
    <tableColumn id="31" name="Column22"/>
    <tableColumn id="32" name="Column23"/>
    <tableColumn id="33" name="Column24"/>
    <tableColumn id="34" name="Column25"/>
    <tableColumn id="35" name="Column26"/>
    <tableColumn id="36" name="Column27"/>
    <tableColumn id="37" name="Column28"/>
    <tableColumn id="38" name="Column29"/>
    <tableColumn id="39" name="Column30"/>
    <tableColumn id="40" name="Column31"/>
    <tableColumn id="41" name="Column32"/>
    <tableColumn id="42" name="Column33"/>
    <tableColumn id="43" name="Column34"/>
    <tableColumn id="44" name="Column35"/>
    <tableColumn id="45" name="Column36"/>
    <tableColumn id="46" name="Column37"/>
    <tableColumn id="47" name="Column38"/>
    <tableColumn id="48" name="Column39"/>
    <tableColumn id="49" name="Column40"/>
    <tableColumn id="50" name="Column41"/>
    <tableColumn id="51" name="Column42"/>
    <tableColumn id="52" name="Column43"/>
    <tableColumn id="53" name="Column44"/>
    <tableColumn id="54" name="Column45"/>
    <tableColumn id="55" name="Column46"/>
    <tableColumn id="56" name="Column47"/>
    <tableColumn id="57" name="Column48"/>
    <tableColumn id="58" name="Column49"/>
    <tableColumn id="59" name="Column50"/>
    <tableColumn id="60" name="Column51"/>
    <tableColumn id="61" name="Column52"/>
    <tableColumn id="62" name="Column53"/>
    <tableColumn id="63" name="Column54"/>
    <tableColumn id="64" name="Column55"/>
    <tableColumn id="65" name="Column56"/>
    <tableColumn id="66" name="Column57"/>
    <tableColumn id="67" name="Column58"/>
    <tableColumn id="68" name="Column59"/>
    <tableColumn id="69" name="Column60"/>
    <tableColumn id="70" name="Column61"/>
    <tableColumn id="71" name="Column62"/>
    <tableColumn id="72" name="Column63"/>
    <tableColumn id="73" name="Column64"/>
    <tableColumn id="74" name="Column65"/>
    <tableColumn id="75" name="Column66"/>
    <tableColumn id="76" name="Column67"/>
    <tableColumn id="77" name="Column68"/>
    <tableColumn id="78" name="Column69"/>
    <tableColumn id="79" name="Column70"/>
    <tableColumn id="80" name="Column71"/>
    <tableColumn id="81" name="Column72"/>
    <tableColumn id="82" name="Column73"/>
    <tableColumn id="83" name="Column74"/>
    <tableColumn id="84" name="Column75"/>
    <tableColumn id="85" name="Column76"/>
    <tableColumn id="86" name="Column77"/>
    <tableColumn id="87" name="Column78"/>
    <tableColumn id="88" name="Column79"/>
    <tableColumn id="89" name="Column80"/>
    <tableColumn id="90" name="Column81"/>
    <tableColumn id="91" name="Column82"/>
    <tableColumn id="92" name="Column83"/>
    <tableColumn id="93" name="Column84"/>
    <tableColumn id="94" name="Column85"/>
    <tableColumn id="95" name="Column86"/>
    <tableColumn id="96" name="Column87"/>
    <tableColumn id="97" name="Column88"/>
    <tableColumn id="98" name="Column89"/>
    <tableColumn id="99" name="Column90"/>
    <tableColumn id="100" name="Column91"/>
    <tableColumn id="101" name="Column92"/>
    <tableColumn id="102" name="Column93"/>
    <tableColumn id="103" name="Column94"/>
    <tableColumn id="104" name="Column95"/>
    <tableColumn id="105" name="Column96"/>
    <tableColumn id="106" name="Column97"/>
    <tableColumn id="107" name="Column98"/>
    <tableColumn id="108" name="Column99"/>
    <tableColumn id="109" name="Column100"/>
    <tableColumn id="110" name="Column101"/>
    <tableColumn id="111" name="Column102"/>
    <tableColumn id="112" name="Column103"/>
    <tableColumn id="113" name="Column104"/>
    <tableColumn id="114" name="Column105"/>
    <tableColumn id="115" name="Column106"/>
    <tableColumn id="116" name="Column107"/>
    <tableColumn id="117" name="Column108"/>
    <tableColumn id="118" name="Column109"/>
    <tableColumn id="119" name="Column110"/>
    <tableColumn id="120" name="Column111"/>
    <tableColumn id="121" name="Column112"/>
    <tableColumn id="122" name="Column113"/>
    <tableColumn id="123" name="Column114"/>
    <tableColumn id="124" name="Column115"/>
    <tableColumn id="125" name="Column116"/>
    <tableColumn id="126" name="Column117"/>
    <tableColumn id="127" name="Column118"/>
    <tableColumn id="128" name="Column119"/>
    <tableColumn id="129" name="Column120"/>
    <tableColumn id="130" name="Column121"/>
    <tableColumn id="131" name="Column122"/>
    <tableColumn id="132" name="Column123"/>
    <tableColumn id="133" name="Column124"/>
    <tableColumn id="134" name="Column125"/>
    <tableColumn id="135" name="Column126"/>
    <tableColumn id="136" name="Column127"/>
    <tableColumn id="137" name="Column128"/>
    <tableColumn id="138" name="Column129"/>
    <tableColumn id="139" name="Column130"/>
    <tableColumn id="140" name="Column131"/>
    <tableColumn id="141" name="Column132"/>
    <tableColumn id="142" name="Column133"/>
    <tableColumn id="143" name="Column134"/>
    <tableColumn id="144" name="Column135"/>
    <tableColumn id="145" name="Column136"/>
    <tableColumn id="146" name="Column137"/>
    <tableColumn id="147" name="Column138"/>
    <tableColumn id="148" name="Column139"/>
    <tableColumn id="149" name="Column140"/>
    <tableColumn id="150" name="Column141"/>
    <tableColumn id="151" name="Column142"/>
    <tableColumn id="152" name="Column143"/>
    <tableColumn id="153" name="Column144"/>
    <tableColumn id="154" name="Column145"/>
    <tableColumn id="155" name="Column146"/>
    <tableColumn id="156" name="Column147"/>
    <tableColumn id="157" name="Column148"/>
    <tableColumn id="158" name="Column149"/>
    <tableColumn id="159" name="Column150"/>
    <tableColumn id="160" name="Column151"/>
    <tableColumn id="161" name="Column152"/>
    <tableColumn id="162" name="Column153"/>
    <tableColumn id="163" name="Column154"/>
    <tableColumn id="164" name="Column155"/>
    <tableColumn id="165" name="Column156"/>
    <tableColumn id="166" name="Column157"/>
    <tableColumn id="167" name="Column158"/>
    <tableColumn id="168" name="Column159"/>
    <tableColumn id="169" name="Column160"/>
    <tableColumn id="170" name="Column161"/>
    <tableColumn id="171" name="Column162"/>
    <tableColumn id="172" name="Column163"/>
    <tableColumn id="173" name="Column164"/>
    <tableColumn id="174" name="Column165"/>
    <tableColumn id="175" name="Column166"/>
    <tableColumn id="176" name="Column167"/>
    <tableColumn id="177" name="Column168"/>
    <tableColumn id="178" name="Column169"/>
    <tableColumn id="179" name="Column170"/>
    <tableColumn id="180" name="Column171"/>
    <tableColumn id="181" name="Column172"/>
    <tableColumn id="182" name="Column173"/>
    <tableColumn id="183" name="Column174"/>
    <tableColumn id="184" name="Column175"/>
    <tableColumn id="185" name="Column176"/>
    <tableColumn id="186" name="Column177"/>
    <tableColumn id="187" name="Column178"/>
    <tableColumn id="188" name="Column179"/>
    <tableColumn id="189" name="Column180"/>
    <tableColumn id="190" name="Column181"/>
    <tableColumn id="191" name="Column182"/>
    <tableColumn id="192" name="Column183"/>
    <tableColumn id="193" name="Column184"/>
    <tableColumn id="194" name="Column185"/>
    <tableColumn id="195" name="Column186"/>
    <tableColumn id="196" name="Column187"/>
    <tableColumn id="197" name="Column188"/>
    <tableColumn id="198" name="Column189"/>
    <tableColumn id="199" name="Column190"/>
    <tableColumn id="200" name="Column191"/>
    <tableColumn id="201" name="Column192"/>
    <tableColumn id="202" name="Column193"/>
    <tableColumn id="203" name="Column194"/>
    <tableColumn id="204" name="Column195"/>
    <tableColumn id="205" name="Column196"/>
    <tableColumn id="206" name="Column197"/>
    <tableColumn id="207" name="Column198"/>
    <tableColumn id="208" name="Column199"/>
    <tableColumn id="209" name="Column200"/>
    <tableColumn id="210" name="Column201"/>
    <tableColumn id="211" name="Column202"/>
    <tableColumn id="212" name="Column203"/>
    <tableColumn id="213" name="Column204"/>
    <tableColumn id="214" name="Column205"/>
    <tableColumn id="215" name="Column206"/>
    <tableColumn id="216" name="Column207"/>
    <tableColumn id="217" name="Column208"/>
    <tableColumn id="218" name="Column209"/>
    <tableColumn id="219" name="Column210"/>
    <tableColumn id="220" name="Column211"/>
    <tableColumn id="221" name="Column212"/>
    <tableColumn id="222" name="Column213"/>
    <tableColumn id="223" name="Column214"/>
    <tableColumn id="224" name="Column215"/>
    <tableColumn id="225" name="Column216"/>
    <tableColumn id="226" name="Column217"/>
    <tableColumn id="227" name="Column218"/>
    <tableColumn id="228" name="Column219"/>
    <tableColumn id="229" name="Column220"/>
    <tableColumn id="230" name="Column221"/>
    <tableColumn id="231" name="Column222"/>
    <tableColumn id="232" name="Column223"/>
    <tableColumn id="233" name="Column224"/>
    <tableColumn id="234" name="Column225"/>
    <tableColumn id="235" name="Column226"/>
    <tableColumn id="236" name="Column227"/>
    <tableColumn id="237" name="Column228"/>
    <tableColumn id="238" name="Column229"/>
    <tableColumn id="239" name="Column230"/>
    <tableColumn id="240" name="Column231"/>
    <tableColumn id="241" name="Column232"/>
    <tableColumn id="242" name="Column233"/>
    <tableColumn id="243" name="Column234"/>
    <tableColumn id="244" name="Column235"/>
    <tableColumn id="245" name="Column236"/>
    <tableColumn id="246" name="Column237"/>
    <tableColumn id="247" name="Column238"/>
    <tableColumn id="248" name="Column239"/>
    <tableColumn id="249" name="Column240"/>
    <tableColumn id="250" name="Column241"/>
    <tableColumn id="251" name="Column242"/>
    <tableColumn id="252" name="Column243"/>
    <tableColumn id="253" name="Column244"/>
    <tableColumn id="254" name="Column245"/>
    <tableColumn id="255" name="Column246"/>
    <tableColumn id="256" name="Column24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85"/>
  <sheetViews>
    <sheetView tabSelected="1" workbookViewId="0" topLeftCell="A1">
      <selection activeCell="K7" sqref="K7"/>
    </sheetView>
  </sheetViews>
  <sheetFormatPr defaultColWidth="9.140625" defaultRowHeight="15"/>
  <cols>
    <col min="1" max="1" width="49.28125" style="2" customWidth="1"/>
    <col min="2" max="2" width="49.28125" style="1" customWidth="1"/>
    <col min="3" max="3" width="28.57421875" style="1" customWidth="1"/>
    <col min="4" max="4" width="18.421875" style="1" customWidth="1"/>
    <col min="5" max="5" width="35.57421875" style="1" customWidth="1"/>
    <col min="6" max="6" width="66.421875" style="2" customWidth="1"/>
    <col min="7" max="8" width="36.421875" style="1" customWidth="1"/>
    <col min="9" max="17" width="11.00390625" style="1" customWidth="1"/>
    <col min="18" max="107" width="12.00390625" style="1" customWidth="1"/>
    <col min="108" max="16384" width="13.00390625" style="1" customWidth="1"/>
  </cols>
  <sheetData>
    <row r="1" spans="1:255" s="3" customFormat="1" ht="15">
      <c r="A1" s="4" t="s">
        <v>4284</v>
      </c>
      <c r="B1" s="3" t="s">
        <v>4285</v>
      </c>
      <c r="C1" s="3" t="s">
        <v>5523</v>
      </c>
      <c r="D1" s="3" t="s">
        <v>4286</v>
      </c>
      <c r="E1" s="3" t="s">
        <v>5524</v>
      </c>
      <c r="F1" s="4" t="s">
        <v>4287</v>
      </c>
      <c r="G1" s="3" t="s">
        <v>4283</v>
      </c>
      <c r="H1" s="3" t="s">
        <v>4282</v>
      </c>
      <c r="I1" s="3" t="s">
        <v>5525</v>
      </c>
      <c r="J1" s="3" t="s">
        <v>5526</v>
      </c>
      <c r="K1" s="3" t="s">
        <v>5527</v>
      </c>
      <c r="L1" s="3" t="s">
        <v>5528</v>
      </c>
      <c r="M1" s="3" t="s">
        <v>5529</v>
      </c>
      <c r="N1" s="3" t="s">
        <v>5530</v>
      </c>
      <c r="O1" s="3" t="s">
        <v>5531</v>
      </c>
      <c r="P1" s="3" t="s">
        <v>5532</v>
      </c>
      <c r="Q1" s="3" t="s">
        <v>5533</v>
      </c>
      <c r="R1" s="3" t="s">
        <v>5534</v>
      </c>
      <c r="S1" s="3" t="s">
        <v>5535</v>
      </c>
      <c r="T1" s="3" t="s">
        <v>5536</v>
      </c>
      <c r="U1" s="3" t="s">
        <v>5537</v>
      </c>
      <c r="V1" s="3" t="s">
        <v>5538</v>
      </c>
      <c r="W1" s="3" t="s">
        <v>5539</v>
      </c>
      <c r="X1" s="3" t="s">
        <v>5540</v>
      </c>
      <c r="Y1" s="3" t="s">
        <v>5541</v>
      </c>
      <c r="Z1" s="3" t="s">
        <v>5542</v>
      </c>
      <c r="AA1" s="3" t="s">
        <v>5543</v>
      </c>
      <c r="AB1" s="3" t="s">
        <v>5544</v>
      </c>
      <c r="AC1" s="3" t="s">
        <v>5545</v>
      </c>
      <c r="AD1" s="3" t="s">
        <v>5546</v>
      </c>
      <c r="AE1" s="3" t="s">
        <v>5547</v>
      </c>
      <c r="AF1" s="3" t="s">
        <v>5548</v>
      </c>
      <c r="AG1" s="3" t="s">
        <v>5549</v>
      </c>
      <c r="AH1" s="3" t="s">
        <v>5550</v>
      </c>
      <c r="AI1" s="3" t="s">
        <v>5551</v>
      </c>
      <c r="AJ1" s="3" t="s">
        <v>5552</v>
      </c>
      <c r="AK1" s="3" t="s">
        <v>5553</v>
      </c>
      <c r="AL1" s="3" t="s">
        <v>5554</v>
      </c>
      <c r="AM1" s="3" t="s">
        <v>5555</v>
      </c>
      <c r="AN1" s="3" t="s">
        <v>5556</v>
      </c>
      <c r="AO1" s="3" t="s">
        <v>5557</v>
      </c>
      <c r="AP1" s="3" t="s">
        <v>5558</v>
      </c>
      <c r="AQ1" s="3" t="s">
        <v>5559</v>
      </c>
      <c r="AR1" s="3" t="s">
        <v>5560</v>
      </c>
      <c r="AS1" s="3" t="s">
        <v>5561</v>
      </c>
      <c r="AT1" s="3" t="s">
        <v>5562</v>
      </c>
      <c r="AU1" s="3" t="s">
        <v>5563</v>
      </c>
      <c r="AV1" s="3" t="s">
        <v>5564</v>
      </c>
      <c r="AW1" s="3" t="s">
        <v>5565</v>
      </c>
      <c r="AX1" s="3" t="s">
        <v>5566</v>
      </c>
      <c r="AY1" s="3" t="s">
        <v>5567</v>
      </c>
      <c r="AZ1" s="3" t="s">
        <v>5568</v>
      </c>
      <c r="BA1" s="3" t="s">
        <v>5569</v>
      </c>
      <c r="BB1" s="3" t="s">
        <v>5570</v>
      </c>
      <c r="BC1" s="3" t="s">
        <v>5571</v>
      </c>
      <c r="BD1" s="3" t="s">
        <v>5572</v>
      </c>
      <c r="BE1" s="3" t="s">
        <v>5573</v>
      </c>
      <c r="BF1" s="3" t="s">
        <v>5574</v>
      </c>
      <c r="BG1" s="3" t="s">
        <v>5575</v>
      </c>
      <c r="BH1" s="3" t="s">
        <v>5576</v>
      </c>
      <c r="BI1" s="3" t="s">
        <v>5577</v>
      </c>
      <c r="BJ1" s="3" t="s">
        <v>5578</v>
      </c>
      <c r="BK1" s="3" t="s">
        <v>5579</v>
      </c>
      <c r="BL1" s="3" t="s">
        <v>5580</v>
      </c>
      <c r="BM1" s="3" t="s">
        <v>5581</v>
      </c>
      <c r="BN1" s="3" t="s">
        <v>5582</v>
      </c>
      <c r="BO1" s="3" t="s">
        <v>5583</v>
      </c>
      <c r="BP1" s="3" t="s">
        <v>5584</v>
      </c>
      <c r="BQ1" s="3" t="s">
        <v>5585</v>
      </c>
      <c r="BR1" s="3" t="s">
        <v>5586</v>
      </c>
      <c r="BS1" s="3" t="s">
        <v>5587</v>
      </c>
      <c r="BT1" s="3" t="s">
        <v>5588</v>
      </c>
      <c r="BU1" s="3" t="s">
        <v>5589</v>
      </c>
      <c r="BV1" s="3" t="s">
        <v>5590</v>
      </c>
      <c r="BW1" s="3" t="s">
        <v>5591</v>
      </c>
      <c r="BX1" s="3" t="s">
        <v>5592</v>
      </c>
      <c r="BY1" s="3" t="s">
        <v>5593</v>
      </c>
      <c r="BZ1" s="3" t="s">
        <v>5594</v>
      </c>
      <c r="CA1" s="3" t="s">
        <v>5595</v>
      </c>
      <c r="CB1" s="3" t="s">
        <v>5596</v>
      </c>
      <c r="CC1" s="3" t="s">
        <v>5597</v>
      </c>
      <c r="CD1" s="3" t="s">
        <v>5598</v>
      </c>
      <c r="CE1" s="3" t="s">
        <v>5599</v>
      </c>
      <c r="CF1" s="3" t="s">
        <v>5600</v>
      </c>
      <c r="CG1" s="3" t="s">
        <v>5601</v>
      </c>
      <c r="CH1" s="3" t="s">
        <v>5602</v>
      </c>
      <c r="CI1" s="3" t="s">
        <v>5603</v>
      </c>
      <c r="CJ1" s="3" t="s">
        <v>5604</v>
      </c>
      <c r="CK1" s="3" t="s">
        <v>5605</v>
      </c>
      <c r="CL1" s="3" t="s">
        <v>5606</v>
      </c>
      <c r="CM1" s="3" t="s">
        <v>5607</v>
      </c>
      <c r="CN1" s="3" t="s">
        <v>5608</v>
      </c>
      <c r="CO1" s="3" t="s">
        <v>5609</v>
      </c>
      <c r="CP1" s="3" t="s">
        <v>5610</v>
      </c>
      <c r="CQ1" s="3" t="s">
        <v>5611</v>
      </c>
      <c r="CR1" s="3" t="s">
        <v>5612</v>
      </c>
      <c r="CS1" s="3" t="s">
        <v>5613</v>
      </c>
      <c r="CT1" s="3" t="s">
        <v>5614</v>
      </c>
      <c r="CU1" s="3" t="s">
        <v>5615</v>
      </c>
      <c r="CV1" s="3" t="s">
        <v>5616</v>
      </c>
      <c r="CW1" s="3" t="s">
        <v>5617</v>
      </c>
      <c r="CX1" s="3" t="s">
        <v>5618</v>
      </c>
      <c r="CY1" s="3" t="s">
        <v>5619</v>
      </c>
      <c r="CZ1" s="3" t="s">
        <v>5620</v>
      </c>
      <c r="DA1" s="3" t="s">
        <v>5621</v>
      </c>
      <c r="DB1" s="3" t="s">
        <v>5622</v>
      </c>
      <c r="DC1" s="3" t="s">
        <v>5623</v>
      </c>
      <c r="DD1" s="3" t="s">
        <v>5624</v>
      </c>
      <c r="DE1" s="3" t="s">
        <v>5625</v>
      </c>
      <c r="DF1" s="3" t="s">
        <v>5626</v>
      </c>
      <c r="DG1" s="3" t="s">
        <v>5627</v>
      </c>
      <c r="DH1" s="3" t="s">
        <v>5628</v>
      </c>
      <c r="DI1" s="3" t="s">
        <v>5629</v>
      </c>
      <c r="DJ1" s="3" t="s">
        <v>5630</v>
      </c>
      <c r="DK1" s="3" t="s">
        <v>5631</v>
      </c>
      <c r="DL1" s="3" t="s">
        <v>5632</v>
      </c>
      <c r="DM1" s="3" t="s">
        <v>5633</v>
      </c>
      <c r="DN1" s="3" t="s">
        <v>5634</v>
      </c>
      <c r="DO1" s="3" t="s">
        <v>5635</v>
      </c>
      <c r="DP1" s="3" t="s">
        <v>5636</v>
      </c>
      <c r="DQ1" s="3" t="s">
        <v>5637</v>
      </c>
      <c r="DR1" s="3" t="s">
        <v>5638</v>
      </c>
      <c r="DS1" s="3" t="s">
        <v>5639</v>
      </c>
      <c r="DT1" s="3" t="s">
        <v>5640</v>
      </c>
      <c r="DU1" s="3" t="s">
        <v>5641</v>
      </c>
      <c r="DV1" s="3" t="s">
        <v>5642</v>
      </c>
      <c r="DW1" s="3" t="s">
        <v>5643</v>
      </c>
      <c r="DX1" s="3" t="s">
        <v>5644</v>
      </c>
      <c r="DY1" s="3" t="s">
        <v>5645</v>
      </c>
      <c r="DZ1" s="3" t="s">
        <v>5646</v>
      </c>
      <c r="EA1" s="3" t="s">
        <v>5647</v>
      </c>
      <c r="EB1" s="3" t="s">
        <v>5648</v>
      </c>
      <c r="EC1" s="3" t="s">
        <v>5649</v>
      </c>
      <c r="ED1" s="3" t="s">
        <v>5650</v>
      </c>
      <c r="EE1" s="3" t="s">
        <v>5651</v>
      </c>
      <c r="EF1" s="3" t="s">
        <v>5652</v>
      </c>
      <c r="EG1" s="3" t="s">
        <v>5653</v>
      </c>
      <c r="EH1" s="3" t="s">
        <v>5654</v>
      </c>
      <c r="EI1" s="3" t="s">
        <v>5655</v>
      </c>
      <c r="EJ1" s="3" t="s">
        <v>5656</v>
      </c>
      <c r="EK1" s="3" t="s">
        <v>5657</v>
      </c>
      <c r="EL1" s="3" t="s">
        <v>5658</v>
      </c>
      <c r="EM1" s="3" t="s">
        <v>5659</v>
      </c>
      <c r="EN1" s="3" t="s">
        <v>5660</v>
      </c>
      <c r="EO1" s="3" t="s">
        <v>5661</v>
      </c>
      <c r="EP1" s="3" t="s">
        <v>5662</v>
      </c>
      <c r="EQ1" s="3" t="s">
        <v>5663</v>
      </c>
      <c r="ER1" s="3" t="s">
        <v>5664</v>
      </c>
      <c r="ES1" s="3" t="s">
        <v>5665</v>
      </c>
      <c r="ET1" s="3" t="s">
        <v>5666</v>
      </c>
      <c r="EU1" s="3" t="s">
        <v>5667</v>
      </c>
      <c r="EV1" s="3" t="s">
        <v>5668</v>
      </c>
      <c r="EW1" s="3" t="s">
        <v>5669</v>
      </c>
      <c r="EX1" s="3" t="s">
        <v>5670</v>
      </c>
      <c r="EY1" s="3" t="s">
        <v>5671</v>
      </c>
      <c r="EZ1" s="3" t="s">
        <v>5672</v>
      </c>
      <c r="FA1" s="3" t="s">
        <v>5673</v>
      </c>
      <c r="FB1" s="3" t="s">
        <v>5674</v>
      </c>
      <c r="FC1" s="3" t="s">
        <v>5675</v>
      </c>
      <c r="FD1" s="3" t="s">
        <v>5676</v>
      </c>
      <c r="FE1" s="3" t="s">
        <v>5677</v>
      </c>
      <c r="FF1" s="3" t="s">
        <v>5678</v>
      </c>
      <c r="FG1" s="3" t="s">
        <v>5679</v>
      </c>
      <c r="FH1" s="3" t="s">
        <v>5680</v>
      </c>
      <c r="FI1" s="3" t="s">
        <v>5681</v>
      </c>
      <c r="FJ1" s="3" t="s">
        <v>5682</v>
      </c>
      <c r="FK1" s="3" t="s">
        <v>5683</v>
      </c>
      <c r="FL1" s="3" t="s">
        <v>5684</v>
      </c>
      <c r="FM1" s="3" t="s">
        <v>5685</v>
      </c>
      <c r="FN1" s="3" t="s">
        <v>5686</v>
      </c>
      <c r="FO1" s="3" t="s">
        <v>5687</v>
      </c>
      <c r="FP1" s="3" t="s">
        <v>5688</v>
      </c>
      <c r="FQ1" s="3" t="s">
        <v>5689</v>
      </c>
      <c r="FR1" s="3" t="s">
        <v>5690</v>
      </c>
      <c r="FS1" s="3" t="s">
        <v>5691</v>
      </c>
      <c r="FT1" s="3" t="s">
        <v>5692</v>
      </c>
      <c r="FU1" s="3" t="s">
        <v>5693</v>
      </c>
      <c r="FV1" s="3" t="s">
        <v>5694</v>
      </c>
      <c r="FW1" s="3" t="s">
        <v>5695</v>
      </c>
      <c r="FX1" s="3" t="s">
        <v>5696</v>
      </c>
      <c r="FY1" s="3" t="s">
        <v>5697</v>
      </c>
      <c r="FZ1" s="3" t="s">
        <v>5698</v>
      </c>
      <c r="GA1" s="3" t="s">
        <v>5699</v>
      </c>
      <c r="GB1" s="3" t="s">
        <v>5700</v>
      </c>
      <c r="GC1" s="3" t="s">
        <v>5701</v>
      </c>
      <c r="GD1" s="3" t="s">
        <v>5702</v>
      </c>
      <c r="GE1" s="3" t="s">
        <v>5703</v>
      </c>
      <c r="GF1" s="3" t="s">
        <v>5704</v>
      </c>
      <c r="GG1" s="3" t="s">
        <v>5705</v>
      </c>
      <c r="GH1" s="3" t="s">
        <v>5706</v>
      </c>
      <c r="GI1" s="3" t="s">
        <v>5707</v>
      </c>
      <c r="GJ1" s="3" t="s">
        <v>5708</v>
      </c>
      <c r="GK1" s="3" t="s">
        <v>5709</v>
      </c>
      <c r="GL1" s="3" t="s">
        <v>5710</v>
      </c>
      <c r="GM1" s="3" t="s">
        <v>5711</v>
      </c>
      <c r="GN1" s="3" t="s">
        <v>5712</v>
      </c>
      <c r="GO1" s="3" t="s">
        <v>5713</v>
      </c>
      <c r="GP1" s="3" t="s">
        <v>5714</v>
      </c>
      <c r="GQ1" s="3" t="s">
        <v>5715</v>
      </c>
      <c r="GR1" s="3" t="s">
        <v>5716</v>
      </c>
      <c r="GS1" s="3" t="s">
        <v>5717</v>
      </c>
      <c r="GT1" s="3" t="s">
        <v>5718</v>
      </c>
      <c r="GU1" s="3" t="s">
        <v>5719</v>
      </c>
      <c r="GV1" s="3" t="s">
        <v>5720</v>
      </c>
      <c r="GW1" s="3" t="s">
        <v>5721</v>
      </c>
      <c r="GX1" s="3" t="s">
        <v>5722</v>
      </c>
      <c r="GY1" s="3" t="s">
        <v>5723</v>
      </c>
      <c r="GZ1" s="3" t="s">
        <v>5724</v>
      </c>
      <c r="HA1" s="3" t="s">
        <v>5725</v>
      </c>
      <c r="HB1" s="3" t="s">
        <v>5726</v>
      </c>
      <c r="HC1" s="3" t="s">
        <v>5727</v>
      </c>
      <c r="HD1" s="3" t="s">
        <v>5728</v>
      </c>
      <c r="HE1" s="3" t="s">
        <v>5729</v>
      </c>
      <c r="HF1" s="3" t="s">
        <v>5730</v>
      </c>
      <c r="HG1" s="3" t="s">
        <v>5731</v>
      </c>
      <c r="HH1" s="3" t="s">
        <v>5732</v>
      </c>
      <c r="HI1" s="3" t="s">
        <v>5733</v>
      </c>
      <c r="HJ1" s="3" t="s">
        <v>5734</v>
      </c>
      <c r="HK1" s="3" t="s">
        <v>5735</v>
      </c>
      <c r="HL1" s="3" t="s">
        <v>5736</v>
      </c>
      <c r="HM1" s="3" t="s">
        <v>5737</v>
      </c>
      <c r="HN1" s="3" t="s">
        <v>5738</v>
      </c>
      <c r="HO1" s="3" t="s">
        <v>5739</v>
      </c>
      <c r="HP1" s="3" t="s">
        <v>5740</v>
      </c>
      <c r="HQ1" s="3" t="s">
        <v>5741</v>
      </c>
      <c r="HR1" s="3" t="s">
        <v>5742</v>
      </c>
      <c r="HS1" s="3" t="s">
        <v>5743</v>
      </c>
      <c r="HT1" s="3" t="s">
        <v>5744</v>
      </c>
      <c r="HU1" s="3" t="s">
        <v>5745</v>
      </c>
      <c r="HV1" s="3" t="s">
        <v>5746</v>
      </c>
      <c r="HW1" s="3" t="s">
        <v>5747</v>
      </c>
      <c r="HX1" s="3" t="s">
        <v>5748</v>
      </c>
      <c r="HY1" s="3" t="s">
        <v>5749</v>
      </c>
      <c r="HZ1" s="3" t="s">
        <v>5750</v>
      </c>
      <c r="IA1" s="3" t="s">
        <v>5751</v>
      </c>
      <c r="IB1" s="3" t="s">
        <v>5752</v>
      </c>
      <c r="IC1" s="3" t="s">
        <v>5753</v>
      </c>
      <c r="ID1" s="3" t="s">
        <v>5754</v>
      </c>
      <c r="IE1" s="3" t="s">
        <v>5755</v>
      </c>
      <c r="IF1" s="3" t="s">
        <v>5756</v>
      </c>
      <c r="IG1" s="3" t="s">
        <v>5757</v>
      </c>
      <c r="IH1" s="3" t="s">
        <v>5758</v>
      </c>
      <c r="II1" s="3" t="s">
        <v>5759</v>
      </c>
      <c r="IJ1" s="3" t="s">
        <v>5760</v>
      </c>
      <c r="IK1" s="3" t="s">
        <v>5761</v>
      </c>
      <c r="IL1" s="3" t="s">
        <v>5762</v>
      </c>
      <c r="IM1" s="3" t="s">
        <v>5763</v>
      </c>
      <c r="IN1" s="3" t="s">
        <v>5764</v>
      </c>
      <c r="IO1" s="3" t="s">
        <v>5765</v>
      </c>
      <c r="IP1" s="3" t="s">
        <v>5766</v>
      </c>
      <c r="IQ1" s="3" t="s">
        <v>5767</v>
      </c>
      <c r="IR1" s="3" t="s">
        <v>5768</v>
      </c>
      <c r="IS1" s="3" t="s">
        <v>5769</v>
      </c>
      <c r="IT1" s="3" t="s">
        <v>5770</v>
      </c>
      <c r="IU1" s="3" t="s">
        <v>5771</v>
      </c>
    </row>
    <row r="2" spans="1:7" ht="15">
      <c r="A2" s="2" t="s">
        <v>627</v>
      </c>
      <c r="B2" s="1" t="s">
        <v>523</v>
      </c>
      <c r="C2" s="1" t="s">
        <v>628</v>
      </c>
      <c r="D2" s="1" t="s">
        <v>4425</v>
      </c>
      <c r="E2" s="5" t="str">
        <f>HYPERLINK("mailto:chris@6thcavalrymuseum.com","chris@6thcavalrymuseum.com")</f>
        <v>chris@6thcavalrymuseum.com</v>
      </c>
      <c r="F2" s="6" t="str">
        <f>HYPERLINK("http://www.6thcavalrymuseum.org")</f>
        <v>http://www.6thcavalrymuseum.org</v>
      </c>
      <c r="G2" s="5" t="str">
        <f>HYPERLINK("https://www.facebook.com/SixthCavalryMuseum")</f>
        <v>https://www.facebook.com/SixthCavalryMuseum</v>
      </c>
    </row>
    <row r="3" spans="1:6" ht="15">
      <c r="A3" s="2" t="s">
        <v>4304</v>
      </c>
      <c r="B3" s="1" t="s">
        <v>4013</v>
      </c>
      <c r="C3" s="1" t="s">
        <v>4014</v>
      </c>
      <c r="D3" s="1" t="s">
        <v>5425</v>
      </c>
      <c r="E3" s="5" t="str">
        <f>HYPERLINK("mailto:info@atravesarts.com","info@atravesarts.com")</f>
        <v>info@atravesarts.com</v>
      </c>
      <c r="F3" s="6" t="str">
        <f>HYPERLINK("http://www.atravesarts.com")</f>
        <v>http://www.atravesarts.com</v>
      </c>
    </row>
    <row r="4" spans="1:3" ht="15">
      <c r="A4" s="2" t="s">
        <v>30</v>
      </c>
      <c r="B4" s="1" t="s">
        <v>31</v>
      </c>
      <c r="C4" s="1" t="s">
        <v>32</v>
      </c>
    </row>
    <row r="5" spans="1:6" ht="15">
      <c r="A5" s="2" t="s">
        <v>385</v>
      </c>
      <c r="B5" s="1" t="s">
        <v>386</v>
      </c>
      <c r="C5" s="1" t="s">
        <v>387</v>
      </c>
      <c r="D5" s="1" t="s">
        <v>4388</v>
      </c>
      <c r="F5" s="6" t="str">
        <f>HYPERLINK("http://gastateparks.org/AHStephens")</f>
        <v>http://gastateparks.org/AHStephens</v>
      </c>
    </row>
    <row r="6" spans="1:6" ht="30">
      <c r="A6" s="2" t="s">
        <v>1615</v>
      </c>
      <c r="B6" s="1" t="s">
        <v>1616</v>
      </c>
      <c r="C6" s="1" t="s">
        <v>1617</v>
      </c>
      <c r="D6" s="1" t="s">
        <v>4758</v>
      </c>
      <c r="F6" s="6" t="str">
        <f>HYPERLINK("http://cowt.ent.sirsi.net/client/en_US/default/?rm=POWELL+BRANCH0%7C%7C%7C1%7C%7C%7C0%7C%7C%7Ctrue&amp;dt=list")</f>
        <v>http://cowt.ent.sirsi.net/client/en_US/default/?rm=POWELL+BRANCH0%7C%7C%7C1%7C%7C%7C0%7C%7C%7Ctrue&amp;dt=list</v>
      </c>
    </row>
    <row r="7" spans="1:6" ht="15">
      <c r="A7" s="2" t="s">
        <v>3871</v>
      </c>
      <c r="B7" s="1" t="s">
        <v>3872</v>
      </c>
      <c r="C7" s="1" t="s">
        <v>3873</v>
      </c>
      <c r="D7" s="1" t="s">
        <v>5393</v>
      </c>
      <c r="E7" s="5" t="str">
        <f>HYPERLINK("mailto:wpjones@abac.edu","wpjones@abac.edu")</f>
        <v>wpjones@abac.edu</v>
      </c>
      <c r="F7" s="6" t="str">
        <f>HYPERLINK("https://www.artsatabac.com/")</f>
        <v>https://www.artsatabac.com/</v>
      </c>
    </row>
    <row r="8" spans="1:7" ht="15">
      <c r="A8" s="2" t="s">
        <v>4015</v>
      </c>
      <c r="B8" s="1" t="s">
        <v>4016</v>
      </c>
      <c r="C8" s="1" t="s">
        <v>4017</v>
      </c>
      <c r="D8" s="1" t="s">
        <v>5426</v>
      </c>
      <c r="E8" s="5" t="str">
        <f>HYPERLINK("mailto:abel2nonprofit@aol.com","abel2nonprofit@aol.com")</f>
        <v>abel2nonprofit@aol.com</v>
      </c>
      <c r="F8" s="6" t="str">
        <f>HYPERLINK("http://www.abel2.org/")</f>
        <v>http://www.abel2.org/</v>
      </c>
      <c r="G8" s="5" t="str">
        <f>HYPERLINK("https://www.facebook.com/abel2inc")</f>
        <v>https://www.facebook.com/abel2inc</v>
      </c>
    </row>
    <row r="9" spans="1:5" ht="30">
      <c r="A9" s="2" t="s">
        <v>3135</v>
      </c>
      <c r="B9" s="1" t="s">
        <v>3136</v>
      </c>
      <c r="C9" s="1" t="s">
        <v>3137</v>
      </c>
      <c r="D9" s="1" t="s">
        <v>5201</v>
      </c>
      <c r="E9" s="5" t="str">
        <f>HYPERLINK("mailto:bainbridgelibrary@abac.edu","bainbridgelibrary@abac.edu")</f>
        <v>bainbridgelibrary@abac.edu</v>
      </c>
    </row>
    <row r="10" spans="1:6" ht="30">
      <c r="A10" s="2" t="s">
        <v>3107</v>
      </c>
      <c r="B10" s="1" t="s">
        <v>3108</v>
      </c>
      <c r="C10" s="1" t="s">
        <v>3109</v>
      </c>
      <c r="F10" s="6" t="str">
        <f>HYPERLINK("https://www.scad.edu/life/student-services/libraries-and-learning-resources/libraries")</f>
        <v>https://www.scad.edu/life/student-services/libraries-and-learning-resources/libraries</v>
      </c>
    </row>
    <row r="11" spans="1:7" ht="15">
      <c r="A11" s="2" t="s">
        <v>4018</v>
      </c>
      <c r="B11" s="1" t="s">
        <v>4019</v>
      </c>
      <c r="C11" s="1" t="s">
        <v>4020</v>
      </c>
      <c r="D11" s="1" t="s">
        <v>5427</v>
      </c>
      <c r="E11" s="5" t="str">
        <f>HYPERLINK("mailto:director@acworthculturalarts.org","director@acworthculturalarts.org")</f>
        <v>director@acworthculturalarts.org</v>
      </c>
      <c r="F11" s="6" t="str">
        <f>HYPERLINK("https://www.acworthculturalarts.org/")</f>
        <v>https://www.acworthculturalarts.org/</v>
      </c>
      <c r="G11" s="5" t="str">
        <f>HYPERLINK("https://www.facebook.com/acworthculturalartsacworthculturalarts")</f>
        <v>https://www.facebook.com/acworthculturalartsacworthculturalarts</v>
      </c>
    </row>
    <row r="12" spans="1:6" ht="15">
      <c r="A12" s="2" t="s">
        <v>787</v>
      </c>
      <c r="B12" s="1" t="s">
        <v>788</v>
      </c>
      <c r="C12" s="1" t="s">
        <v>789</v>
      </c>
      <c r="D12" s="1" t="s">
        <v>4501</v>
      </c>
      <c r="E12" s="5" t="str">
        <f>HYPERLINK("mailto:info@bartowlibrary.org","info@bartowlibrary.org")</f>
        <v>info@bartowlibrary.org</v>
      </c>
      <c r="F12" s="6" t="str">
        <f>HYPERLINK("http://www.bartowlibraryonline.org/about-locations.php")</f>
        <v>http://www.bartowlibraryonline.org/about-locations.php</v>
      </c>
    </row>
    <row r="13" spans="1:6" ht="15">
      <c r="A13" s="2" t="s">
        <v>3555</v>
      </c>
      <c r="B13" s="1" t="s">
        <v>3556</v>
      </c>
      <c r="C13" s="1" t="s">
        <v>3557</v>
      </c>
      <c r="D13" s="1" t="s">
        <v>5316</v>
      </c>
      <c r="F13" s="6" t="str">
        <f>HYPERLINK("https://www.twincityga.com/Museums.aspx")</f>
        <v>https://www.twincityga.com/Museums.aspx</v>
      </c>
    </row>
    <row r="14" spans="1:6" ht="15">
      <c r="A14" s="2" t="s">
        <v>1132</v>
      </c>
      <c r="B14" s="1" t="s">
        <v>1133</v>
      </c>
      <c r="C14" s="1" t="s">
        <v>1134</v>
      </c>
      <c r="D14" s="1" t="s">
        <v>4614</v>
      </c>
      <c r="F14" s="6" t="str">
        <f>HYPERLINK("http://afpls.org/adams-park-branch")</f>
        <v>http://afpls.org/adams-park-branch</v>
      </c>
    </row>
    <row r="15" spans="1:6" ht="15">
      <c r="A15" s="2" t="s">
        <v>1135</v>
      </c>
      <c r="B15" s="1" t="s">
        <v>1136</v>
      </c>
      <c r="C15" s="1" t="s">
        <v>1137</v>
      </c>
      <c r="D15" s="1" t="s">
        <v>4615</v>
      </c>
      <c r="F15" s="6" t="str">
        <f>HYPERLINK("http://afpls.org/adamsville-collier-branch")</f>
        <v>http://afpls.org/adamsville-collier-branch</v>
      </c>
    </row>
    <row r="16" spans="1:4" ht="15">
      <c r="A16" s="2" t="s">
        <v>1333</v>
      </c>
      <c r="B16" s="1" t="s">
        <v>1334</v>
      </c>
      <c r="C16" s="1" t="s">
        <v>1335</v>
      </c>
      <c r="D16" s="1" t="s">
        <v>4676</v>
      </c>
    </row>
    <row r="17" spans="1:6" ht="15">
      <c r="A17" s="2" t="s">
        <v>3833</v>
      </c>
      <c r="B17" s="1" t="s">
        <v>3637</v>
      </c>
      <c r="C17" s="1" t="s">
        <v>3834</v>
      </c>
      <c r="D17" s="1" t="s">
        <v>5338</v>
      </c>
      <c r="E17" s="5" t="str">
        <f>HYPERLINK("mailto:thecowetacomuseum@yahoo.com","thecowetacomuseum@yahoo.com")</f>
        <v>thecowetacomuseum@yahoo.com</v>
      </c>
      <c r="F17" s="6" t="str">
        <f>HYPERLINK("https://www.ccaahm.com/")</f>
        <v>https://www.ccaahm.com/</v>
      </c>
    </row>
    <row r="18" spans="1:7" ht="15">
      <c r="A18" s="2" t="s">
        <v>120</v>
      </c>
      <c r="B18" s="1" t="s">
        <v>121</v>
      </c>
      <c r="C18" s="1" t="s">
        <v>122</v>
      </c>
      <c r="D18" s="1" t="s">
        <v>4322</v>
      </c>
      <c r="E18" s="5" t="str">
        <f>HYPERLINK("mailto:info@africantextilemuseum.org","info@africantextilemuseum.org")</f>
        <v>info@africantextilemuseum.org</v>
      </c>
      <c r="F18" s="6" t="str">
        <f>HYPERLINK("https://africantextilemuseum.org/")</f>
        <v>https://africantextilemuseum.org/</v>
      </c>
      <c r="G18" s="5" t="str">
        <f>HYPERLINK("https://www.facebook.com/AfricaTextileMuseum")</f>
        <v>https://www.facebook.com/AfricaTextileMuseum</v>
      </c>
    </row>
    <row r="19" spans="1:3" ht="30">
      <c r="A19" s="2" t="s">
        <v>3668</v>
      </c>
      <c r="B19" s="1" t="s">
        <v>3669</v>
      </c>
      <c r="C19" s="1" t="s">
        <v>3670</v>
      </c>
    </row>
    <row r="20" spans="1:7" ht="30">
      <c r="A20" s="2" t="s">
        <v>3038</v>
      </c>
      <c r="E20" s="5" t="str">
        <f>HYPERLINK("mailto:aahgsatlanta@gmail.com","aahgsatlanta@gmail.com")</f>
        <v>aahgsatlanta@gmail.com</v>
      </c>
      <c r="F20" s="6" t="str">
        <f>HYPERLINK("http://aahgsatl.org")</f>
        <v>http://aahgsatl.org</v>
      </c>
      <c r="G20" s="5" t="str">
        <f>HYPERLINK("https://www.facebook.com/Afro-American-Historical-and-Genealogical-Society-Metro-Atlanta-Chapter-168261025422")</f>
        <v>https://www.facebook.com/Afro-American-Historical-and-Genealogical-Society-Metro-Atlanta-Chapter-168261025422</v>
      </c>
    </row>
    <row r="21" spans="1:3" ht="15">
      <c r="A21" s="2" t="s">
        <v>3602</v>
      </c>
      <c r="B21" s="1" t="s">
        <v>3603</v>
      </c>
      <c r="C21" s="1" t="s">
        <v>3604</v>
      </c>
    </row>
    <row r="22" spans="1:6" ht="15">
      <c r="A22" s="2" t="s">
        <v>4021</v>
      </c>
      <c r="B22" s="1" t="s">
        <v>4022</v>
      </c>
      <c r="C22" s="1" t="s">
        <v>4023</v>
      </c>
      <c r="D22" s="1" t="s">
        <v>5428</v>
      </c>
      <c r="E22" s="5" t="str">
        <f>HYPERLINK("mailto:info@airserenbe.com","info@airserenbe.com")</f>
        <v>info@airserenbe.com</v>
      </c>
      <c r="F22" s="6" t="str">
        <f>HYPERLINK("https://www.airserenbe.com/")</f>
        <v>https://www.airserenbe.com/</v>
      </c>
    </row>
    <row r="23" spans="1:3" ht="15">
      <c r="A23" s="2" t="s">
        <v>3605</v>
      </c>
      <c r="B23" s="1" t="s">
        <v>3606</v>
      </c>
      <c r="C23" s="1" t="s">
        <v>3607</v>
      </c>
    </row>
    <row r="24" spans="1:6" ht="15">
      <c r="A24" s="2" t="s">
        <v>2510</v>
      </c>
      <c r="B24" s="1" t="s">
        <v>2511</v>
      </c>
      <c r="C24" s="1" t="s">
        <v>2512</v>
      </c>
      <c r="D24" s="1" t="s">
        <v>5020</v>
      </c>
      <c r="F24" s="6" t="str">
        <f>HYPERLINK("http://www.atl.com/about-atl/airport-art-program/")</f>
        <v>http://www.atl.com/about-atl/airport-art-program/</v>
      </c>
    </row>
    <row r="25" spans="1:7" ht="15">
      <c r="A25" s="2" t="s">
        <v>632</v>
      </c>
      <c r="B25" s="1" t="s">
        <v>633</v>
      </c>
      <c r="C25" s="1" t="s">
        <v>634</v>
      </c>
      <c r="D25" s="1" t="s">
        <v>4455</v>
      </c>
      <c r="E25" s="5" t="str">
        <f>HYPERLINK("mailto:grouptour@acrmm.org","grouptour@acrmm.org")</f>
        <v>grouptour@acrmm.org</v>
      </c>
      <c r="F25" s="6" t="str">
        <f>HYPERLINK("http://www.albanycivilrightsinstitute.org/")</f>
        <v>http://www.albanycivilrightsinstitute.org/</v>
      </c>
      <c r="G25" s="5" t="str">
        <f>HYPERLINK("https://www.facebook.com/Albany-Civil-Rights-Institute-367176186640811")</f>
        <v>https://www.facebook.com/Albany-Civil-Rights-Institute-367176186640811</v>
      </c>
    </row>
    <row r="26" spans="1:8" ht="15">
      <c r="A26" s="2" t="s">
        <v>394</v>
      </c>
      <c r="B26" s="1" t="s">
        <v>395</v>
      </c>
      <c r="C26" s="1" t="s">
        <v>396</v>
      </c>
      <c r="D26" s="1" t="s">
        <v>4390</v>
      </c>
      <c r="E26" s="5" t="str">
        <f>HYPERLINK("mailto:info@albanymuseum.com","info@albanymuseum.com")</f>
        <v>info@albanymuseum.com</v>
      </c>
      <c r="F26" s="6" t="str">
        <f>HYPERLINK("http://www.albanymuseum.com")</f>
        <v>http://www.albanymuseum.com</v>
      </c>
      <c r="G26" s="5" t="str">
        <f>HYPERLINK("https://www.facebook.com/AlbanyMuseumOfArt")</f>
        <v>https://www.facebook.com/AlbanyMuseumOfArt</v>
      </c>
      <c r="H26" s="5" t="str">
        <f>HYPERLINK("https://twitter.com/albanyartmuseum")</f>
        <v>https://twitter.com/albanyartmuseum</v>
      </c>
    </row>
    <row r="27" spans="1:6" ht="30">
      <c r="A27" s="2" t="s">
        <v>3271</v>
      </c>
      <c r="B27" s="1" t="s">
        <v>3272</v>
      </c>
      <c r="C27" s="1" t="s">
        <v>3273</v>
      </c>
      <c r="D27" s="1" t="s">
        <v>5241</v>
      </c>
      <c r="E27" s="5" t="str">
        <f>HYPERLINK("mailto:rcalhoun@albanytech.edu","rcalhoun@albanytech.edu")</f>
        <v>rcalhoun@albanytech.edu</v>
      </c>
      <c r="F27" s="6" t="str">
        <f>HYPERLINK("https://www.albanytech.edu/campus-life/library-media-services")</f>
        <v>https://www.albanytech.edu/campus-life/library-media-services</v>
      </c>
    </row>
    <row r="28" spans="1:4" ht="15">
      <c r="A28" s="2" t="s">
        <v>3905</v>
      </c>
      <c r="C28" s="1" t="s">
        <v>3906</v>
      </c>
      <c r="D28" s="1" t="s">
        <v>5399</v>
      </c>
    </row>
    <row r="29" spans="1:6" ht="15">
      <c r="A29" s="2" t="s">
        <v>397</v>
      </c>
      <c r="B29" s="1" t="s">
        <v>398</v>
      </c>
      <c r="C29" s="1" t="s">
        <v>399</v>
      </c>
      <c r="D29" s="1" t="s">
        <v>4391</v>
      </c>
      <c r="E29" s="5" t="str">
        <f>HYPERLINK("mailto:lawref@uga.edu","lawref@uga.edu")</f>
        <v>lawref@uga.edu</v>
      </c>
      <c r="F29" s="6" t="str">
        <f>HYPERLINK("http://www.law.uga.edu/law-library")</f>
        <v>http://www.law.uga.edu/law-library</v>
      </c>
    </row>
    <row r="30" spans="1:6" ht="15">
      <c r="A30" s="2" t="s">
        <v>166</v>
      </c>
      <c r="B30" s="1" t="s">
        <v>167</v>
      </c>
      <c r="C30" s="1" t="s">
        <v>168</v>
      </c>
      <c r="D30" s="1" t="s">
        <v>4333</v>
      </c>
      <c r="F30" s="6" t="str">
        <f>HYPERLINK("https://www.tattnallcountyga.com/the-alexander-hotel.cfm")</f>
        <v>https://www.tattnallcountyga.com/the-alexander-hotel.cfm</v>
      </c>
    </row>
    <row r="31" spans="1:7" ht="15">
      <c r="A31" s="2" t="s">
        <v>635</v>
      </c>
      <c r="B31" s="1" t="s">
        <v>636</v>
      </c>
      <c r="C31" s="1" t="s">
        <v>637</v>
      </c>
      <c r="D31" s="1" t="s">
        <v>4456</v>
      </c>
      <c r="F31" s="6" t="str">
        <f>HYPERLINK("http://allsaintsatlanta.org/")</f>
        <v>http://allsaintsatlanta.org/</v>
      </c>
      <c r="G31" s="5" t="str">
        <f>HYPERLINK("https://www.facebook.com/AllSaintsATL")</f>
        <v>https://www.facebook.com/AllSaintsATL</v>
      </c>
    </row>
    <row r="32" spans="1:7" ht="30">
      <c r="A32" s="2" t="s">
        <v>3529</v>
      </c>
      <c r="B32" s="1" t="s">
        <v>3530</v>
      </c>
      <c r="C32" s="1" t="s">
        <v>3531</v>
      </c>
      <c r="D32" s="1" t="s">
        <v>5310</v>
      </c>
      <c r="F32" s="6" t="str">
        <f>HYPERLINK("https://gastateparks.org/sites/default/files/parks/pdf/redtopmountain/AllatoonaPassBattlefield.pdf")</f>
        <v>https://gastateparks.org/sites/default/files/parks/pdf/redtopmountain/AllatoonaPassBattlefield.pdf</v>
      </c>
      <c r="G32" s="5" t="str">
        <f>HYPERLINK("https://www.facebook.com/220165609304")</f>
        <v>https://www.facebook.com/220165609304</v>
      </c>
    </row>
    <row r="33" spans="1:6" ht="15">
      <c r="A33" s="2" t="s">
        <v>1309</v>
      </c>
      <c r="B33" s="1" t="s">
        <v>1310</v>
      </c>
      <c r="C33" s="1" t="s">
        <v>1311</v>
      </c>
      <c r="D33" s="1" t="s">
        <v>4668</v>
      </c>
      <c r="F33" s="6" t="str">
        <f>HYPERLINK("https://sgrl.org/locations/allen-statenville-library/")</f>
        <v>https://sgrl.org/locations/allen-statenville-library/</v>
      </c>
    </row>
    <row r="34" spans="1:8" ht="15">
      <c r="A34" s="2" t="s">
        <v>169</v>
      </c>
      <c r="B34" s="1" t="s">
        <v>170</v>
      </c>
      <c r="C34" s="1" t="s">
        <v>171</v>
      </c>
      <c r="D34" s="1" t="s">
        <v>4334</v>
      </c>
      <c r="E34" s="5" t="str">
        <f>HYPERLINK("mailto:info@thebighousemuseum.org","info@thebighousemuseum.org")</f>
        <v>info@thebighousemuseum.org</v>
      </c>
      <c r="F34" s="6" t="str">
        <f>HYPERLINK("http://www.thebighousemuseum.com/")</f>
        <v>http://www.thebighousemuseum.com/</v>
      </c>
      <c r="G34" s="5" t="str">
        <f>HYPERLINK("https://www.facebook.com/TheBigHouseMuseum")</f>
        <v>https://www.facebook.com/TheBigHouseMuseum</v>
      </c>
      <c r="H34" s="5" t="str">
        <f>HYPERLINK("https://twitter.com/bighousemuseum")</f>
        <v>https://twitter.com/bighousemuseum</v>
      </c>
    </row>
    <row r="35" spans="1:4" ht="15">
      <c r="A35" s="2" t="s">
        <v>2408</v>
      </c>
      <c r="B35" s="1" t="s">
        <v>2409</v>
      </c>
      <c r="C35" s="1" t="s">
        <v>2410</v>
      </c>
      <c r="D35" s="1" t="s">
        <v>4985</v>
      </c>
    </row>
    <row r="36" spans="1:3" ht="15">
      <c r="A36" s="2" t="s">
        <v>638</v>
      </c>
      <c r="B36" s="1" t="s">
        <v>639</v>
      </c>
      <c r="C36" s="1" t="s">
        <v>640</v>
      </c>
    </row>
    <row r="37" spans="1:6" ht="15">
      <c r="A37" s="2" t="s">
        <v>1555</v>
      </c>
      <c r="B37" s="1" t="s">
        <v>1556</v>
      </c>
      <c r="C37" s="1" t="s">
        <v>1557</v>
      </c>
      <c r="D37" s="1" t="s">
        <v>4749</v>
      </c>
      <c r="F37" s="6" t="str">
        <f>HYPERLINK("https://okrls.org/bacon/")</f>
        <v>https://okrls.org/bacon/</v>
      </c>
    </row>
    <row r="38" spans="1:3" ht="15">
      <c r="A38" s="2" t="s">
        <v>611</v>
      </c>
      <c r="B38" s="1" t="s">
        <v>612</v>
      </c>
      <c r="C38" s="1" t="s">
        <v>613</v>
      </c>
    </row>
    <row r="39" spans="1:6" ht="15">
      <c r="A39" s="2" t="s">
        <v>641</v>
      </c>
      <c r="B39" s="1" t="s">
        <v>642</v>
      </c>
      <c r="C39" s="1" t="s">
        <v>643</v>
      </c>
      <c r="D39" s="1" t="s">
        <v>4457</v>
      </c>
      <c r="E39" s="5" t="str">
        <f>HYPERLINK("mailto:info@alphadeltapi.com","info@alphadeltapi.com")</f>
        <v>info@alphadeltapi.com</v>
      </c>
      <c r="F39" s="6" t="str">
        <f>HYPERLINK("http://www.alphadeltapi.org")</f>
        <v>http://www.alphadeltapi.org</v>
      </c>
    </row>
    <row r="40" spans="1:6" ht="15">
      <c r="A40" s="2" t="s">
        <v>2411</v>
      </c>
      <c r="B40" s="1" t="s">
        <v>2412</v>
      </c>
      <c r="C40" s="1" t="s">
        <v>2413</v>
      </c>
      <c r="D40" s="1" t="s">
        <v>4986</v>
      </c>
      <c r="E40" s="5" t="str">
        <f>HYPERLINK("mailto:info@aomchs.org","info@aomchs.org")</f>
        <v>info@aomchs.org</v>
      </c>
      <c r="F40" s="6" t="str">
        <f>HYPERLINK("http://aomchs.org/")</f>
        <v>http://aomchs.org/</v>
      </c>
    </row>
    <row r="41" spans="1:6" ht="30">
      <c r="A41" s="2" t="s">
        <v>1138</v>
      </c>
      <c r="B41" s="1" t="s">
        <v>1139</v>
      </c>
      <c r="C41" s="1" t="s">
        <v>1140</v>
      </c>
      <c r="D41" s="1" t="s">
        <v>4616</v>
      </c>
      <c r="F41" s="6" t="str">
        <f>HYPERLINK("http://afpls.org/alpharetta-branch")</f>
        <v>http://afpls.org/alpharetta-branch</v>
      </c>
    </row>
    <row r="42" spans="1:7" ht="15">
      <c r="A42" s="2" t="s">
        <v>2414</v>
      </c>
      <c r="B42" s="1" t="s">
        <v>2415</v>
      </c>
      <c r="C42" s="1" t="s">
        <v>2416</v>
      </c>
      <c r="D42" s="1" t="s">
        <v>4987</v>
      </c>
      <c r="E42" s="5" t="str">
        <f>HYPERLINK("mailto:altama@bellsouth.net","altama@bellsouth.net")</f>
        <v>altama@bellsouth.net</v>
      </c>
      <c r="F42" s="6" t="str">
        <f>HYPERLINK("https://www.altamamuseum.org/")</f>
        <v>https://www.altamamuseum.org/</v>
      </c>
      <c r="G42" s="5" t="str">
        <f>HYPERLINK("https://www.facebook.com/AltamaMuseum")</f>
        <v>https://www.facebook.com/AltamaMuseum</v>
      </c>
    </row>
    <row r="43" spans="1:7" ht="15">
      <c r="A43" s="2" t="s">
        <v>3558</v>
      </c>
      <c r="B43" s="1" t="s">
        <v>3559</v>
      </c>
      <c r="C43" s="1" t="s">
        <v>3560</v>
      </c>
      <c r="D43" s="1" t="s">
        <v>5317</v>
      </c>
      <c r="G43" s="5" t="str">
        <f>HYPERLINK("https://www.facebook.com/altamahaheritagecenter")</f>
        <v>https://www.facebook.com/altamahaheritagecenter</v>
      </c>
    </row>
    <row r="44" spans="1:6" ht="15">
      <c r="A44" s="2" t="s">
        <v>1000</v>
      </c>
      <c r="B44" s="1" t="s">
        <v>1001</v>
      </c>
      <c r="C44" s="1" t="s">
        <v>1002</v>
      </c>
      <c r="D44" s="1" t="s">
        <v>4572</v>
      </c>
      <c r="E44" s="5" t="str">
        <f>HYPERLINK("mailto:ambrlib@srlsys.org","ambrlib@srlsys.org")</f>
        <v>ambrlib@srlsys.org</v>
      </c>
      <c r="F44" s="6" t="str">
        <f>HYPERLINK("http://srlsys.org/ambrose-public-library/")</f>
        <v>http://srlsys.org/ambrose-public-library/</v>
      </c>
    </row>
    <row r="45" spans="1:7" ht="15">
      <c r="A45" s="2" t="s">
        <v>400</v>
      </c>
      <c r="B45" s="1" t="s">
        <v>401</v>
      </c>
      <c r="C45" s="1" t="s">
        <v>402</v>
      </c>
      <c r="D45" s="1" t="s">
        <v>4392</v>
      </c>
      <c r="E45" s="5" t="str">
        <f>HYPERLINK("mailto:abhsoffice@abhsarchives.org","abhsoffice@abhsarchives.org")</f>
        <v>abhsoffice@abhsarchives.org</v>
      </c>
      <c r="F45" s="6" t="str">
        <f>HYPERLINK("http://www.abhsarchives.org/")</f>
        <v>http://www.abhsarchives.org/</v>
      </c>
      <c r="G45" s="5" t="str">
        <f>HYPERLINK("https://www.facebook.com/abhsarchives")</f>
        <v>https://www.facebook.com/abhsarchives</v>
      </c>
    </row>
    <row r="46" spans="1:7" ht="15">
      <c r="A46" s="2" t="s">
        <v>2417</v>
      </c>
      <c r="B46" s="1" t="s">
        <v>2418</v>
      </c>
      <c r="C46" s="1" t="s">
        <v>2419</v>
      </c>
      <c r="D46" s="1" t="s">
        <v>4988</v>
      </c>
      <c r="E46" s="5" t="str">
        <f>HYPERLINK("mailto:info@acconfederacy.org","info@acconfederacy.org")</f>
        <v>info@acconfederacy.org</v>
      </c>
      <c r="F46" s="6" t="str">
        <f>HYPERLINK("http://www.acconfederacy.org")</f>
        <v>http://www.acconfederacy.org</v>
      </c>
      <c r="G46" s="5" t="str">
        <f>HYPERLINK("https://www.facebook.com/American-Cherokee-Confederacy-863842467067266")</f>
        <v>https://www.facebook.com/American-Cherokee-Confederacy-863842467067266</v>
      </c>
    </row>
    <row r="47" spans="1:6" ht="15">
      <c r="A47" s="2" t="s">
        <v>3947</v>
      </c>
      <c r="B47" s="1" t="s">
        <v>3948</v>
      </c>
      <c r="C47" s="1" t="s">
        <v>3949</v>
      </c>
      <c r="D47" s="1" t="s">
        <v>5409</v>
      </c>
      <c r="F47" s="6" t="str">
        <f>HYPERLINK("https://www.americanprohibitionmuseum.com/")</f>
        <v>https://www.americanprohibitionmuseum.com/</v>
      </c>
    </row>
    <row r="48" spans="1:7" ht="15">
      <c r="A48" s="2" t="s">
        <v>3561</v>
      </c>
      <c r="B48" s="1" t="s">
        <v>3562</v>
      </c>
      <c r="C48" s="1" t="s">
        <v>3563</v>
      </c>
      <c r="E48" s="5" t="str">
        <f>HYPERLINK("mailto:aprasch@wisc.edu","aprasch@wisc.edu")</f>
        <v>aprasch@wisc.edu</v>
      </c>
      <c r="F48" s="6" t="str">
        <f>HYPERLINK("https://ashr.org/")</f>
        <v>https://ashr.org/</v>
      </c>
      <c r="G48" s="5" t="str">
        <f>HYPERLINK("https://www.facebook.com/ASHRhet")</f>
        <v>https://www.facebook.com/ASHRhet</v>
      </c>
    </row>
    <row r="49" spans="1:7" ht="15">
      <c r="A49" s="2" t="s">
        <v>4024</v>
      </c>
      <c r="B49" s="1" t="s">
        <v>4025</v>
      </c>
      <c r="C49" s="1" t="s">
        <v>4026</v>
      </c>
      <c r="D49" s="1" t="s">
        <v>5429</v>
      </c>
      <c r="E49" s="5" t="str">
        <f>HYPERLINK("mailto:Ebnettum@gmail.com","Ebnettum@gmail.com")</f>
        <v>Ebnettum@gmail.com</v>
      </c>
      <c r="F49" s="6" t="str">
        <f>HYPERLINK("https://www.americussumterarts.org/")</f>
        <v>https://www.americussumterarts.org/</v>
      </c>
      <c r="G49" s="5" t="str">
        <f>HYPERLINK("https://www.facebook.com/americus.sumter.arts")</f>
        <v>https://www.facebook.com/americus.sumter.arts</v>
      </c>
    </row>
    <row r="50" spans="1:6" ht="15">
      <c r="A50" s="2" t="s">
        <v>3564</v>
      </c>
      <c r="B50" s="1" t="s">
        <v>3565</v>
      </c>
      <c r="C50" s="1" t="s">
        <v>3566</v>
      </c>
      <c r="E50" s="5" t="str">
        <f>HYPERLINK("mailto:president@amessociety.org","president@amessociety.org")</f>
        <v>president@amessociety.org</v>
      </c>
      <c r="F50" s="6" t="str">
        <f>HYPERLINK("http://amessociety.org")</f>
        <v>http://amessociety.org</v>
      </c>
    </row>
    <row r="51" spans="1:6" ht="15">
      <c r="A51" s="2" t="s">
        <v>403</v>
      </c>
      <c r="B51" s="1" t="s">
        <v>404</v>
      </c>
      <c r="C51" s="1" t="s">
        <v>405</v>
      </c>
      <c r="D51" s="1" t="s">
        <v>4393</v>
      </c>
      <c r="F51" s="6" t="str">
        <f>HYPERLINK("https://www.gcsu.edu/andalusia")</f>
        <v>https://www.gcsu.edu/andalusia</v>
      </c>
    </row>
    <row r="52" spans="1:6" ht="15">
      <c r="A52" s="2" t="s">
        <v>2867</v>
      </c>
      <c r="D52" s="1" t="s">
        <v>4989</v>
      </c>
      <c r="E52" s="5" t="str">
        <f>HYPERLINK("mailto:info@andersonvillegeorgia.info","info@andersonvillegeorgia.info")</f>
        <v>info@andersonvillegeorgia.info</v>
      </c>
      <c r="F52" s="6" t="str">
        <f>HYPERLINK("https://www.andersonvillegeorgia.info/about-us.html")</f>
        <v>https://www.andersonvillegeorgia.info/about-us.html</v>
      </c>
    </row>
    <row r="53" spans="1:7" ht="15">
      <c r="A53" s="2" t="s">
        <v>2420</v>
      </c>
      <c r="B53" s="1" t="s">
        <v>2421</v>
      </c>
      <c r="C53" s="1" t="s">
        <v>2422</v>
      </c>
      <c r="D53" s="1" t="s">
        <v>4989</v>
      </c>
      <c r="E53" s="5" t="str">
        <f>HYPERLINK("mailto:info@andersonvillegeorgia.info","info@andersonvillegeorgia.info")</f>
        <v>info@andersonvillegeorgia.info</v>
      </c>
      <c r="F53" s="6" t="str">
        <f>HYPERLINK("http://www.andersonvillegeorgia.info")</f>
        <v>http://www.andersonvillegeorgia.info</v>
      </c>
      <c r="G53" s="5" t="str">
        <f>HYPERLINK("https://www.facebook.com/AndersonvilleGeorgia")</f>
        <v>https://www.facebook.com/AndersonvilleGeorgia</v>
      </c>
    </row>
    <row r="54" spans="1:8" ht="15">
      <c r="A54" s="2" t="s">
        <v>432</v>
      </c>
      <c r="B54" s="1" t="s">
        <v>433</v>
      </c>
      <c r="C54" s="1" t="s">
        <v>434</v>
      </c>
      <c r="D54" s="1" t="s">
        <v>4402</v>
      </c>
      <c r="F54" s="6" t="str">
        <f>HYPERLINK("http://www.nps.gov/ande")</f>
        <v>http://www.nps.gov/ande</v>
      </c>
      <c r="G54" s="5" t="str">
        <f>HYPERLINK("https://www.facebook.com/AndersonvilleNPS")</f>
        <v>https://www.facebook.com/AndersonvilleNPS</v>
      </c>
      <c r="H54" s="5" t="str">
        <f>HYPERLINK("https://twitter.com/andenhs")</f>
        <v>https://twitter.com/andenhs</v>
      </c>
    </row>
    <row r="55" spans="1:7" ht="15">
      <c r="A55" s="2" t="s">
        <v>354</v>
      </c>
      <c r="B55" s="1" t="s">
        <v>355</v>
      </c>
      <c r="C55" s="1" t="s">
        <v>356</v>
      </c>
      <c r="D55" s="1" t="s">
        <v>4380</v>
      </c>
      <c r="E55" s="5" t="str">
        <f>HYPERLINK("mailto:info@andrewlowhouse.com","info@andrewlowhouse.com")</f>
        <v>info@andrewlowhouse.com</v>
      </c>
      <c r="F55" s="6" t="str">
        <f>HYPERLINK("http://www.andrewlowhouse.com/")</f>
        <v>http://www.andrewlowhouse.com/</v>
      </c>
      <c r="G55" s="5" t="str">
        <f>HYPERLINK("https://www.facebook.com/andrewlowhouse")</f>
        <v>https://www.facebook.com/andrewlowhouse</v>
      </c>
    </row>
    <row r="56" spans="1:6" ht="15">
      <c r="A56" s="2" t="s">
        <v>3234</v>
      </c>
      <c r="B56" s="1" t="s">
        <v>3235</v>
      </c>
      <c r="C56" s="1" t="s">
        <v>3236</v>
      </c>
      <c r="D56" s="1" t="s">
        <v>5229</v>
      </c>
      <c r="F56" s="6" t="str">
        <f>HYPERLINK("https://libguides.covenant.edu/home")</f>
        <v>https://libguides.covenant.edu/home</v>
      </c>
    </row>
    <row r="57" spans="1:8" ht="15">
      <c r="A57" s="2" t="s">
        <v>3567</v>
      </c>
      <c r="B57" s="1" t="s">
        <v>3568</v>
      </c>
      <c r="C57" s="1" t="s">
        <v>3569</v>
      </c>
      <c r="D57" s="1" t="s">
        <v>5318</v>
      </c>
      <c r="F57" s="6" t="str">
        <f>HYPERLINK("http://holocaust.georgia.gov/")</f>
        <v>http://holocaust.georgia.gov/</v>
      </c>
      <c r="G57" s="5" t="str">
        <f>HYPERLINK("https://www.facebook.com/AnneFrankintheWorld")</f>
        <v>https://www.facebook.com/AnneFrankintheWorld</v>
      </c>
      <c r="H57" s="5" t="str">
        <f>HYPERLINK("https://twitter.com/AFintheWorld")</f>
        <v>https://twitter.com/AFintheWorld</v>
      </c>
    </row>
    <row r="58" spans="1:7" ht="15">
      <c r="A58" s="2" t="s">
        <v>388</v>
      </c>
      <c r="B58" s="1" t="s">
        <v>389</v>
      </c>
      <c r="C58" s="1" t="s">
        <v>390</v>
      </c>
      <c r="D58" s="1" t="s">
        <v>4389</v>
      </c>
      <c r="E58" s="5" t="str">
        <f>HYPERLINK("mailto:info@apexmuseum.org","info@apexmuseum.org")</f>
        <v>info@apexmuseum.org</v>
      </c>
      <c r="F58" s="6" t="str">
        <f>HYPERLINK("https://www.apexmuseum.org/")</f>
        <v>https://www.apexmuseum.org/</v>
      </c>
      <c r="G58" s="5" t="str">
        <f>HYPERLINK("https://www.facebook.com/APEXMuseum")</f>
        <v>https://www.facebook.com/APEXMuseum</v>
      </c>
    </row>
    <row r="59" spans="1:6" ht="15">
      <c r="A59" s="2" t="s">
        <v>1399</v>
      </c>
      <c r="B59" s="1" t="s">
        <v>1400</v>
      </c>
      <c r="C59" s="1" t="s">
        <v>1401</v>
      </c>
      <c r="D59" s="1" t="s">
        <v>4697</v>
      </c>
      <c r="F59" s="6" t="str">
        <f>HYPERLINK("https://arcpls.org/locations/appleby-2/")</f>
        <v>https://arcpls.org/locations/appleby-2/</v>
      </c>
    </row>
    <row r="60" spans="1:6" ht="30">
      <c r="A60" s="2" t="s">
        <v>2426</v>
      </c>
      <c r="B60" s="1" t="s">
        <v>2427</v>
      </c>
      <c r="C60" s="1" t="s">
        <v>2428</v>
      </c>
      <c r="D60" s="1" t="s">
        <v>4991</v>
      </c>
      <c r="F60" s="6" t="str">
        <f>HYPERLINK("http://candlersonsofconfederacy.homestead.com/applingcountygaheritagecenterinbaxley.html")</f>
        <v>http://candlersonsofconfederacy.homestead.com/applingcountygaheritagecenterinbaxley.html</v>
      </c>
    </row>
    <row r="61" spans="1:6" ht="15">
      <c r="A61" s="2" t="s">
        <v>1552</v>
      </c>
      <c r="B61" s="1" t="s">
        <v>1553</v>
      </c>
      <c r="C61" s="1" t="s">
        <v>1554</v>
      </c>
      <c r="D61" s="1" t="s">
        <v>4748</v>
      </c>
      <c r="F61" s="6" t="str">
        <f>HYPERLINK("https://okrls.org/appling/")</f>
        <v>https://okrls.org/appling/</v>
      </c>
    </row>
    <row r="62" spans="1:6" ht="15">
      <c r="A62" s="2" t="s">
        <v>256</v>
      </c>
      <c r="C62" s="1" t="s">
        <v>257</v>
      </c>
      <c r="F62" s="6" t="str">
        <f>HYPERLINK("https://www.nps.gov/armo/index.htm")</f>
        <v>https://www.nps.gov/armo/index.htm</v>
      </c>
    </row>
    <row r="63" spans="1:7" ht="15">
      <c r="A63" s="2" t="s">
        <v>706</v>
      </c>
      <c r="B63" s="1" t="s">
        <v>707</v>
      </c>
      <c r="C63" s="1" t="s">
        <v>708</v>
      </c>
      <c r="D63" s="1" t="s">
        <v>4477</v>
      </c>
      <c r="G63" s="5" t="str">
        <f>HYPERLINK("https://www.facebook.com/AragonHistoricalSociety")</f>
        <v>https://www.facebook.com/AragonHistoricalSociety</v>
      </c>
    </row>
    <row r="64" spans="1:6" ht="15">
      <c r="A64" s="2" t="s">
        <v>406</v>
      </c>
      <c r="B64" s="1" t="s">
        <v>407</v>
      </c>
      <c r="C64" s="1" t="s">
        <v>408</v>
      </c>
      <c r="D64" s="1" t="s">
        <v>4394</v>
      </c>
      <c r="F64" s="6" t="str">
        <f>HYPERLINK("https://www.roswellgov.com/SmithPlantation")</f>
        <v>https://www.roswellgov.com/SmithPlantation</v>
      </c>
    </row>
    <row r="65" spans="1:7" ht="30">
      <c r="A65" s="2" t="s">
        <v>2429</v>
      </c>
      <c r="B65" s="1" t="s">
        <v>1949</v>
      </c>
      <c r="C65" s="1" t="s">
        <v>2430</v>
      </c>
      <c r="D65" s="1" t="s">
        <v>4992</v>
      </c>
      <c r="E65" s="5" t="str">
        <f>HYPERLINK("mailto:archives@auctr.edu","archives@auctr.edu")</f>
        <v>archives@auctr.edu</v>
      </c>
      <c r="F65" s="6" t="str">
        <f>HYPERLINK("https://www.auctr.edu/archives/")</f>
        <v>https://www.auctr.edu/archives/</v>
      </c>
      <c r="G65" s="5" t="str">
        <f>HYPERLINK("https://www.facebook.com/aucwoodrufflib")</f>
        <v>https://www.facebook.com/aucwoodrufflib</v>
      </c>
    </row>
    <row r="66" spans="1:6" ht="15">
      <c r="A66" s="2" t="s">
        <v>4027</v>
      </c>
      <c r="B66" s="1" t="s">
        <v>4028</v>
      </c>
      <c r="C66" s="1" t="s">
        <v>4029</v>
      </c>
      <c r="D66" s="1" t="s">
        <v>5430</v>
      </c>
      <c r="E66" s="5" t="str">
        <f>HYPERLINK("mailto:grants@myareaatlanta.com","grants@myareaatlanta.com")</f>
        <v>grants@myareaatlanta.com</v>
      </c>
      <c r="F66" s="6" t="str">
        <f>HYPERLINK("http://myareaatlanta.com/")</f>
        <v>http://myareaatlanta.com/</v>
      </c>
    </row>
    <row r="67" spans="1:6" ht="15">
      <c r="A67" s="2" t="s">
        <v>3570</v>
      </c>
      <c r="B67" s="1" t="s">
        <v>3571</v>
      </c>
      <c r="C67" s="1" t="s">
        <v>3572</v>
      </c>
      <c r="D67" s="1" t="s">
        <v>5319</v>
      </c>
      <c r="E67" s="5" t="str">
        <f>HYPERLINK("mailto:steve.wages@armyav.org","steve.wages@armyav.org")</f>
        <v>steve.wages@armyav.org</v>
      </c>
      <c r="F67" s="6" t="str">
        <f>HYPERLINK("https://armyav.org/")</f>
        <v>https://armyav.org/</v>
      </c>
    </row>
    <row r="68" spans="1:6" ht="15">
      <c r="A68" s="2" t="s">
        <v>2898</v>
      </c>
      <c r="B68" s="1" t="s">
        <v>2899</v>
      </c>
      <c r="C68" s="1" t="s">
        <v>2900</v>
      </c>
      <c r="D68" s="1" t="s">
        <v>5139</v>
      </c>
      <c r="E68" s="5" t="str">
        <f>HYPERLINK("mailto:bglass@piedmont.edu","bglass@piedmont.edu")</f>
        <v>bglass@piedmont.edu</v>
      </c>
      <c r="F68" s="6" t="str">
        <f>HYPERLINK("https://www.piedmont.edu/library")</f>
        <v>https://www.piedmont.edu/library</v>
      </c>
    </row>
    <row r="69" spans="1:8" ht="15">
      <c r="A69" s="2" t="s">
        <v>409</v>
      </c>
      <c r="B69" s="1" t="s">
        <v>410</v>
      </c>
      <c r="C69" s="1" t="s">
        <v>411</v>
      </c>
      <c r="D69" s="1" t="s">
        <v>4395</v>
      </c>
      <c r="E69" s="5" t="str">
        <f>HYPERLINK("mailto:info@artpapers.org","info@artpapers.org")</f>
        <v>info@artpapers.org</v>
      </c>
      <c r="F69" s="6" t="str">
        <f>HYPERLINK("https://www.artpapers.org/")</f>
        <v>https://www.artpapers.org/</v>
      </c>
      <c r="G69" s="5" t="str">
        <f>HYPERLINK("https://www.facebook.com/artpapersartpapers")</f>
        <v>https://www.facebook.com/artpapersartpapers</v>
      </c>
      <c r="H69" s="5" t="str">
        <f>HYPERLINK("https://twitter.com/artpapers")</f>
        <v>https://twitter.com/artpapers</v>
      </c>
    </row>
    <row r="70" spans="1:6" ht="15">
      <c r="A70" s="2" t="s">
        <v>4030</v>
      </c>
      <c r="D70" s="1" t="s">
        <v>5431</v>
      </c>
      <c r="E70" s="5" t="str">
        <f>HYPERLINK("mailto:info@arcsavannah.org","info@arcsavannah.org")</f>
        <v>info@arcsavannah.org</v>
      </c>
      <c r="F70" s="6" t="str">
        <f>HYPERLINK("https://www.arcsavannah.org/")</f>
        <v>https://www.arcsavannah.org/</v>
      </c>
    </row>
    <row r="71" spans="1:7" ht="15">
      <c r="A71" s="2" t="s">
        <v>4031</v>
      </c>
      <c r="D71" s="1" t="s">
        <v>5432</v>
      </c>
      <c r="E71" s="5" t="str">
        <f>HYPERLINK("mailto:info@artistguildcc.org","info@artistguildcc.org")</f>
        <v>info@artistguildcc.org</v>
      </c>
      <c r="F71" s="6" t="str">
        <f>HYPERLINK("http://www.artistguildcc.org/")</f>
        <v>http://www.artistguildcc.org/</v>
      </c>
      <c r="G71" s="5" t="str">
        <f>HYPERLINK("https://www.facebook.com/Artist-Guild-of-Columbia-County-139963932682272")</f>
        <v>https://www.facebook.com/Artist-Guild-of-Columbia-County-139963932682272</v>
      </c>
    </row>
    <row r="72" spans="1:8" ht="15">
      <c r="A72" s="2" t="s">
        <v>4032</v>
      </c>
      <c r="B72" s="1" t="s">
        <v>4033</v>
      </c>
      <c r="C72" s="1" t="s">
        <v>4034</v>
      </c>
      <c r="D72" s="1" t="s">
        <v>5433</v>
      </c>
      <c r="E72" s="5" t="str">
        <f>HYPERLINK("mailto:info@artportunityknocks.org","info@artportunityknocks.org")</f>
        <v>info@artportunityknocks.org</v>
      </c>
      <c r="F72" s="6" t="str">
        <f>HYPERLINK("http://www.artportunityknocks.org/")</f>
        <v>http://www.artportunityknocks.org/</v>
      </c>
      <c r="G72" s="5" t="str">
        <f>HYPERLINK("https://www.facebook.com/artportunityknocks")</f>
        <v>https://www.facebook.com/artportunityknocks</v>
      </c>
      <c r="H72" s="5" t="str">
        <f>HYPERLINK("https://twitter.com/artportunity")</f>
        <v>https://twitter.com/artportunity</v>
      </c>
    </row>
    <row r="73" spans="1:8" ht="15">
      <c r="A73" s="2" t="s">
        <v>4035</v>
      </c>
      <c r="D73" s="1" t="s">
        <v>5434</v>
      </c>
      <c r="E73" s="5" t="str">
        <f>HYPERLINK("mailto:info@artsatl.com","info@artsatl.com")</f>
        <v>info@artsatl.com</v>
      </c>
      <c r="F73" s="6" t="str">
        <f>HYPERLINK("https://www.artsatl.org/")</f>
        <v>https://www.artsatl.org/</v>
      </c>
      <c r="G73" s="5" t="str">
        <f>HYPERLINK("https://www.facebook.com/ArtsATL")</f>
        <v>https://www.facebook.com/ArtsATL</v>
      </c>
      <c r="H73" s="5" t="str">
        <f>HYPERLINK("https://twitter.com/ArtsATLorg")</f>
        <v>https://twitter.com/ArtsATLorg</v>
      </c>
    </row>
    <row r="74" spans="1:7" ht="15">
      <c r="A74" s="2" t="s">
        <v>91</v>
      </c>
      <c r="B74" s="1" t="s">
        <v>92</v>
      </c>
      <c r="C74" s="1" t="s">
        <v>93</v>
      </c>
      <c r="D74" s="1" t="s">
        <v>4315</v>
      </c>
      <c r="E74" s="5" t="str">
        <f>HYPERLINK("mailto:info@sulfurstudios.org","info@sulfurstudios.org")</f>
        <v>info@sulfurstudios.org</v>
      </c>
      <c r="F74" s="6" t="str">
        <f>HYPERLINK("https://artssoutheast.org")</f>
        <v>https://artssoutheast.org</v>
      </c>
      <c r="G74" s="5" t="str">
        <f>HYPERLINK("https://www.facebook.com/sulfurstudios")</f>
        <v>https://www.facebook.com/sulfurstudios</v>
      </c>
    </row>
    <row r="75" spans="1:8" ht="15">
      <c r="A75" s="2" t="s">
        <v>4037</v>
      </c>
      <c r="B75" s="1" t="s">
        <v>4038</v>
      </c>
      <c r="C75" s="1" t="s">
        <v>4039</v>
      </c>
      <c r="D75" s="1" t="s">
        <v>5436</v>
      </c>
      <c r="E75" s="5" t="str">
        <f>HYPERLINK("mailto:Jdobbs@artsbridgega.org","Jdobbs@artsbridgega.org")</f>
        <v>Jdobbs@artsbridgega.org</v>
      </c>
      <c r="F75" s="6" t="str">
        <f>HYPERLINK("https://artsbridgega.org/")</f>
        <v>https://artsbridgega.org/</v>
      </c>
      <c r="G75" s="5" t="str">
        <f>HYPERLINK("https://www.facebook.com/ArtsBridgeGa")</f>
        <v>https://www.facebook.com/ArtsBridgeGa</v>
      </c>
      <c r="H75" s="5" t="str">
        <f>HYPERLINK("https://twitter.com/ArtsbridgeGa")</f>
        <v>https://twitter.com/ArtsbridgeGa</v>
      </c>
    </row>
    <row r="76" spans="1:7" ht="15">
      <c r="A76" s="2" t="s">
        <v>2280</v>
      </c>
      <c r="D76" s="1" t="s">
        <v>4954</v>
      </c>
      <c r="E76" s="5" t="str">
        <f>HYPERLINK("mailto:artsga@artsgeorgia.net","artsga@artsgeorgia.net")</f>
        <v>artsga@artsgeorgia.net</v>
      </c>
      <c r="F76" s="6" t="str">
        <f>HYPERLINK("http://www.artsgeorgia.net")</f>
        <v>http://www.artsgeorgia.net</v>
      </c>
      <c r="G76" s="5" t="str">
        <f>HYPERLINK("https://www.facebook.com/ArtsGeorgia")</f>
        <v>https://www.facebook.com/ArtsGeorgia</v>
      </c>
    </row>
    <row r="77" spans="1:8" ht="15">
      <c r="A77" s="2" t="s">
        <v>4040</v>
      </c>
      <c r="B77" s="1" t="s">
        <v>4041</v>
      </c>
      <c r="C77" s="1" t="s">
        <v>4042</v>
      </c>
      <c r="D77" s="1" t="s">
        <v>5437</v>
      </c>
      <c r="E77" s="5" t="str">
        <f>HYPERLINK("mailto:info@artsnowlearning.org","info@artsnowlearning.org")</f>
        <v>info@artsnowlearning.org</v>
      </c>
      <c r="F77" s="6" t="str">
        <f>HYPERLINK("https://artsnowlearning.org/")</f>
        <v>https://artsnowlearning.org/</v>
      </c>
      <c r="G77" s="5" t="str">
        <f>HYPERLINK("https://www.facebook.com/ArtsNow")</f>
        <v>https://www.facebook.com/ArtsNow</v>
      </c>
      <c r="H77" s="5" t="str">
        <f>HYPERLINK("https://twitter.com/ArtsNow1")</f>
        <v>https://twitter.com/ArtsNow1</v>
      </c>
    </row>
    <row r="78" spans="1:8" ht="15">
      <c r="A78" s="2" t="s">
        <v>4230</v>
      </c>
      <c r="B78" s="1" t="s">
        <v>4231</v>
      </c>
      <c r="C78" s="1" t="s">
        <v>4232</v>
      </c>
      <c r="D78" s="1" t="s">
        <v>5509</v>
      </c>
      <c r="E78" s="5" t="str">
        <f>HYPERLINK("mailto:info@artsxchange.org","info@artsxchange.org")</f>
        <v>info@artsxchange.org</v>
      </c>
      <c r="F78" s="6" t="str">
        <f>HYPERLINK("https://www.artsxchange.org/")</f>
        <v>https://www.artsxchange.org/</v>
      </c>
      <c r="G78" s="5" t="str">
        <f>HYPERLINK("https://www.facebook.com/artsxchangeeastpoint")</f>
        <v>https://www.facebook.com/artsxchangeeastpoint</v>
      </c>
      <c r="H78" s="5" t="str">
        <f>HYPERLINK("https://twitter.com/ArtsXchangeATL")</f>
        <v>https://twitter.com/ArtsXchangeATL</v>
      </c>
    </row>
    <row r="79" spans="1:6" ht="15">
      <c r="A79" s="2" t="s">
        <v>3858</v>
      </c>
      <c r="B79" s="1" t="s">
        <v>3859</v>
      </c>
      <c r="C79" s="1" t="s">
        <v>3860</v>
      </c>
      <c r="E79" s="5" t="str">
        <f>HYPERLINK("mailto:artworksgwinnett1818@gmail.com","artworksgwinnett1818@gmail.com")</f>
        <v>artworksgwinnett1818@gmail.com</v>
      </c>
      <c r="F79" s="6" t="str">
        <f>HYPERLINK("https://www.artworksgwinnett.org/")</f>
        <v>https://www.artworksgwinnett.org/</v>
      </c>
    </row>
    <row r="80" spans="1:8" ht="15">
      <c r="A80" s="2" t="s">
        <v>4043</v>
      </c>
      <c r="D80" s="1" t="s">
        <v>5438</v>
      </c>
      <c r="E80" s="5" t="str">
        <f>HYPERLINK("mailto:artzfortheharp@gmail.com","artzfortheharp@gmail.com")</f>
        <v>artzfortheharp@gmail.com</v>
      </c>
      <c r="F80" s="6" t="str">
        <f>HYPERLINK("http://www.artzfortheharp.org")</f>
        <v>http://www.artzfortheharp.org</v>
      </c>
      <c r="G80" s="5" t="str">
        <f>HYPERLINK("https://www.facebook.com/artzfortheharp")</f>
        <v>https://www.facebook.com/artzfortheharp</v>
      </c>
      <c r="H80" s="5" t="str">
        <f>HYPERLINK("https://twitter.com/artzfortheharp")</f>
        <v>https://twitter.com/artzfortheharp</v>
      </c>
    </row>
    <row r="81" spans="1:6" ht="15">
      <c r="A81" s="2" t="s">
        <v>1883</v>
      </c>
      <c r="B81" s="1" t="s">
        <v>1884</v>
      </c>
      <c r="C81" s="1" t="s">
        <v>1885</v>
      </c>
      <c r="D81" s="1" t="s">
        <v>4839</v>
      </c>
      <c r="E81" s="5" t="str">
        <f>HYPERLINK("mailto:branneni@savannahstate.edu","branneni@savannahstate.edu")</f>
        <v>branneni@savannahstate.edu</v>
      </c>
      <c r="F81" s="6" t="str">
        <f>HYPERLINK("https://www.savannahstate.edu/library/")</f>
        <v>https://www.savannahstate.edu/library/</v>
      </c>
    </row>
    <row r="82" spans="1:5" ht="15">
      <c r="A82" s="2" t="s">
        <v>4044</v>
      </c>
      <c r="B82" s="1" t="s">
        <v>4045</v>
      </c>
      <c r="C82" s="1" t="s">
        <v>4046</v>
      </c>
      <c r="D82" s="1" t="s">
        <v>5439</v>
      </c>
      <c r="E82" s="5" t="str">
        <f>HYPERLINK("mailto:awalk73@bellsouth.net","awalk73@bellsouth.net")</f>
        <v>awalk73@bellsouth.net</v>
      </c>
    </row>
    <row r="83" spans="1:6" ht="15">
      <c r="A83" s="2" t="s">
        <v>272</v>
      </c>
      <c r="B83" s="1" t="s">
        <v>273</v>
      </c>
      <c r="C83" s="1" t="s">
        <v>274</v>
      </c>
      <c r="D83" s="1" t="s">
        <v>4356</v>
      </c>
      <c r="E83" s="5" t="str">
        <f>HYPERLINK("mailto:ashantillycenter@gmail.com","ashantillycenter@gmail.com")</f>
        <v>ashantillycenter@gmail.com</v>
      </c>
      <c r="F83" s="6" t="str">
        <f>HYPERLINK("https://ashantillycenter.org/")</f>
        <v>https://ashantillycenter.org/</v>
      </c>
    </row>
    <row r="84" spans="1:6" ht="15">
      <c r="A84" s="2" t="s">
        <v>2432</v>
      </c>
      <c r="B84" s="1" t="s">
        <v>2433</v>
      </c>
      <c r="C84" s="1" t="s">
        <v>2434</v>
      </c>
      <c r="D84" s="1" t="s">
        <v>4994</v>
      </c>
      <c r="F84" s="6" t="str">
        <f>HYPERLINK("https://www.turnerchamber.com/")</f>
        <v>https://www.turnerchamber.com/</v>
      </c>
    </row>
    <row r="85" spans="1:6" ht="15">
      <c r="A85" s="2" t="s">
        <v>3861</v>
      </c>
      <c r="E85" s="5" t="str">
        <f>HYPERLINK("mailto:president@athensarts.org","president@athensarts.org")</f>
        <v>president@athensarts.org</v>
      </c>
      <c r="F85" s="6" t="str">
        <f>HYPERLINK("https://athensarts.org/")</f>
        <v>https://athensarts.org/</v>
      </c>
    </row>
    <row r="86" spans="1:6" ht="15">
      <c r="A86" s="2" t="s">
        <v>3049</v>
      </c>
      <c r="E86" s="5" t="str">
        <f>HYPERLINK("mailto:athenshistorical@gmail.com","athenshistorical@gmail.com")</f>
        <v>athenshistorical@gmail.com</v>
      </c>
      <c r="F86" s="6" t="str">
        <f>HYPERLINK("https://www.athenshistorical.org/index")</f>
        <v>https://www.athenshistorical.org/index</v>
      </c>
    </row>
    <row r="87" spans="1:6" ht="15">
      <c r="A87" s="2" t="s">
        <v>2435</v>
      </c>
      <c r="B87" s="1" t="s">
        <v>2436</v>
      </c>
      <c r="C87" s="1" t="s">
        <v>2437</v>
      </c>
      <c r="D87" s="1" t="s">
        <v>4995</v>
      </c>
      <c r="E87" s="5" t="str">
        <f>HYPERLINK("mailto:alibrary@athenstech.edu","alibrary@athenstech.edu")</f>
        <v>alibrary@athenstech.edu</v>
      </c>
      <c r="F87" s="6" t="str">
        <f>HYPERLINK("http://library.athenstech.edu/")</f>
        <v>http://library.athenstech.edu/</v>
      </c>
    </row>
    <row r="88" spans="1:6" ht="15">
      <c r="A88" s="2" t="s">
        <v>660</v>
      </c>
      <c r="B88" s="1" t="s">
        <v>661</v>
      </c>
      <c r="C88" s="1" t="s">
        <v>662</v>
      </c>
      <c r="D88" s="1" t="s">
        <v>4462</v>
      </c>
      <c r="F88" s="6" t="str">
        <f>HYPERLINK("http://www.athenslibrary.org/athens")</f>
        <v>http://www.athenslibrary.org/athens</v>
      </c>
    </row>
    <row r="89" spans="1:6" ht="15">
      <c r="A89" s="2" t="s">
        <v>3050</v>
      </c>
      <c r="B89" s="1" t="s">
        <v>661</v>
      </c>
      <c r="C89" s="1" t="s">
        <v>3051</v>
      </c>
      <c r="D89" s="1" t="s">
        <v>4462</v>
      </c>
      <c r="E89" s="5" t="str">
        <f>HYPERLINK("mailto:heritageroomref@athenslibrary.org","heritageroomref@athenslibrary.org")</f>
        <v>heritageroomref@athenslibrary.org</v>
      </c>
      <c r="F89" s="6" t="str">
        <f>HYPERLINK("http://www.athenslibrary.org/athens/departments/heritage")</f>
        <v>http://www.athenslibrary.org/athens/departments/heritage</v>
      </c>
    </row>
    <row r="90" spans="1:7" ht="15">
      <c r="A90" s="2" t="s">
        <v>4047</v>
      </c>
      <c r="D90" s="1" t="s">
        <v>5440</v>
      </c>
      <c r="E90" s="5" t="str">
        <f>HYPERLINK("mailto:director@athfesteducates.org","director@athfesteducates.org")</f>
        <v>director@athfesteducates.org</v>
      </c>
      <c r="F90" s="6" t="str">
        <f>HYPERLINK("http://athfesteducates.org/")</f>
        <v>http://athfesteducates.org/</v>
      </c>
      <c r="G90" s="5" t="str">
        <f>HYPERLINK("https://www.facebook.com/Athfest-Educates-10150149843665301")</f>
        <v>https://www.facebook.com/Athfest-Educates-10150149843665301</v>
      </c>
    </row>
    <row r="91" spans="1:6" ht="30">
      <c r="A91" s="2" t="s">
        <v>2031</v>
      </c>
      <c r="B91" s="1" t="s">
        <v>2032</v>
      </c>
      <c r="C91" s="1" t="s">
        <v>2033</v>
      </c>
      <c r="D91" s="1" t="s">
        <v>4884</v>
      </c>
      <c r="F91" s="6" t="str">
        <f>HYPERLINK("https://www.fulcolibrary.org/central-library/")</f>
        <v>https://www.fulcolibrary.org/central-library/</v>
      </c>
    </row>
    <row r="92" spans="1:6" ht="15">
      <c r="A92" s="2" t="s">
        <v>412</v>
      </c>
      <c r="C92" s="1" t="s">
        <v>413</v>
      </c>
      <c r="F92" s="6" t="str">
        <f>HYPERLINK("http://www.thecontemporary.org/")</f>
        <v>http://www.thecontemporary.org/</v>
      </c>
    </row>
    <row r="93" spans="1:6" ht="30">
      <c r="A93" s="2" t="s">
        <v>4048</v>
      </c>
      <c r="B93" s="1" t="s">
        <v>4049</v>
      </c>
      <c r="C93" s="1" t="s">
        <v>4050</v>
      </c>
      <c r="D93" s="1" t="s">
        <v>5441</v>
      </c>
      <c r="E93" s="5" t="str">
        <f>HYPERLINK("mailto:ccurtis@pba.org","ccurtis@pba.org")</f>
        <v>ccurtis@pba.org</v>
      </c>
      <c r="F93" s="6" t="str">
        <f>HYPERLINK("http://cp.wabe.org/aetc")</f>
        <v>http://cp.wabe.org/aetc</v>
      </c>
    </row>
    <row r="94" spans="1:6" ht="15">
      <c r="A94" s="2" t="s">
        <v>1734</v>
      </c>
      <c r="B94" s="1" t="s">
        <v>1735</v>
      </c>
      <c r="C94" s="1" t="s">
        <v>1736</v>
      </c>
      <c r="D94" s="1" t="s">
        <v>4790</v>
      </c>
      <c r="E94" s="5" t="str">
        <f>HYPERLINK("mailto:amy.hennessy@atl.frb.org","amy.hennessy@atl.frb.org")</f>
        <v>amy.hennessy@atl.frb.org</v>
      </c>
      <c r="F94" s="6" t="str">
        <f>HYPERLINK("https://www.frbatlanta.org/about/tours/museum.aspx")</f>
        <v>https://www.frbatlanta.org/about/tours/museum.aspx</v>
      </c>
    </row>
    <row r="95" spans="1:8" ht="15">
      <c r="A95" s="2" t="s">
        <v>4157</v>
      </c>
      <c r="B95" s="1" t="s">
        <v>4158</v>
      </c>
      <c r="C95" s="1" t="s">
        <v>4159</v>
      </c>
      <c r="D95" s="1" t="s">
        <v>5482</v>
      </c>
      <c r="E95" s="5" t="str">
        <f>HYPERLINK("mailto:feedback@atlantafilmsociety.org","feedback@atlantafilmsociety.org")</f>
        <v>feedback@atlantafilmsociety.org</v>
      </c>
      <c r="F95" s="6" t="str">
        <f>HYPERLINK("https://www.atlantafilmsociety.org/")</f>
        <v>https://www.atlantafilmsociety.org/</v>
      </c>
      <c r="G95" s="5" t="str">
        <f>HYPERLINK("https://www.facebook.com/atlfilmsociety")</f>
        <v>https://www.facebook.com/atlfilmsociety</v>
      </c>
      <c r="H95" s="5" t="str">
        <f>HYPERLINK("https://twitter.com/atlfilmsociety")</f>
        <v>https://twitter.com/atlfilmsociety</v>
      </c>
    </row>
    <row r="96" spans="1:6" ht="15">
      <c r="A96" s="2" t="s">
        <v>2043</v>
      </c>
      <c r="B96" s="1" t="s">
        <v>2044</v>
      </c>
      <c r="C96" s="1" t="s">
        <v>2045</v>
      </c>
      <c r="D96" s="1" t="s">
        <v>4888</v>
      </c>
      <c r="F96" s="6" t="str">
        <f>HYPERLINK("http://www.afpls.org/northside-branch")</f>
        <v>http://www.afpls.org/northside-branch</v>
      </c>
    </row>
    <row r="97" spans="1:8" ht="15">
      <c r="A97" s="2" t="s">
        <v>296</v>
      </c>
      <c r="B97" s="1" t="s">
        <v>297</v>
      </c>
      <c r="C97" s="1" t="s">
        <v>298</v>
      </c>
      <c r="D97" s="1" t="s">
        <v>4362</v>
      </c>
      <c r="E97" s="5" t="str">
        <f>HYPERLINK("mailto:reference@atlantahistorycenter.com","reference@atlantahistorycenter.com")</f>
        <v>reference@atlantahistorycenter.com</v>
      </c>
      <c r="F97" s="6" t="str">
        <f>HYPERLINK("https://www.atlantahistorycenter.com/")</f>
        <v>https://www.atlantahistorycenter.com/</v>
      </c>
      <c r="G97" s="5" t="str">
        <f>HYPERLINK("https://www.facebook.com/AtlantaHistoryCenter")</f>
        <v>https://www.facebook.com/AtlantaHistoryCenter</v>
      </c>
      <c r="H97" s="5" t="str">
        <f>HYPERLINK("https://twitter.com/atlhistcenter")</f>
        <v>https://twitter.com/atlhistcenter</v>
      </c>
    </row>
    <row r="98" spans="1:7" ht="15">
      <c r="A98" s="2" t="s">
        <v>1983</v>
      </c>
      <c r="B98" s="1" t="s">
        <v>1984</v>
      </c>
      <c r="C98" s="1" t="s">
        <v>1985</v>
      </c>
      <c r="D98" s="1" t="s">
        <v>4869</v>
      </c>
      <c r="E98" s="5" t="str">
        <f>HYPERLINK("mailto:AHAArchives@atlantahousing.org","AHAArchives@atlantahousing.org")</f>
        <v>AHAArchives@atlantahousing.org</v>
      </c>
      <c r="F98" s="6" t="str">
        <f>HYPERLINK("https://www.atlantahousing.org/about-us/archives/")</f>
        <v>https://www.atlantahousing.org/about-us/archives/</v>
      </c>
      <c r="G98" s="5" t="str">
        <f>HYPERLINK("https://www.facebook.com/housingatlanta")</f>
        <v>https://www.facebook.com/housingatlanta</v>
      </c>
    </row>
    <row r="99" spans="1:6" ht="15">
      <c r="A99" s="2" t="s">
        <v>571</v>
      </c>
      <c r="B99" s="1" t="s">
        <v>572</v>
      </c>
      <c r="C99" s="1" t="s">
        <v>573</v>
      </c>
      <c r="D99" s="1" t="s">
        <v>4439</v>
      </c>
      <c r="E99" s="5" t="str">
        <f>HYPERLINK("mailto:library@atlm.edu","library@atlm.edu")</f>
        <v>library@atlm.edu</v>
      </c>
      <c r="F99" s="6" t="str">
        <f>HYPERLINK("http://www.atlm.edu/academics/library.aspx")</f>
        <v>http://www.atlm.edu/academics/library.aspx</v>
      </c>
    </row>
    <row r="100" spans="1:8" ht="15">
      <c r="A100" s="2" t="s">
        <v>4051</v>
      </c>
      <c r="B100" s="1" t="s">
        <v>4052</v>
      </c>
      <c r="C100" s="1" t="s">
        <v>4053</v>
      </c>
      <c r="D100" s="1" t="s">
        <v>5442</v>
      </c>
      <c r="E100" s="5" t="str">
        <f>HYPERLINK("mailto:info@atlantamusicproject.org","info@atlantamusicproject.org")</f>
        <v>info@atlantamusicproject.org</v>
      </c>
      <c r="F100" s="6" t="str">
        <f>HYPERLINK("https://www.atlantamusicproject.org/")</f>
        <v>https://www.atlantamusicproject.org/</v>
      </c>
      <c r="G100" s="5" t="str">
        <f>HYPERLINK("https://www.facebook.com/AtlantaMusicProject")</f>
        <v>https://www.facebook.com/AtlantaMusicProject</v>
      </c>
      <c r="H100" s="5" t="str">
        <f>HYPERLINK("https://twitter.com/atlmusicproject")</f>
        <v>https://twitter.com/atlmusicproject</v>
      </c>
    </row>
    <row r="101" spans="1:8" ht="15">
      <c r="A101" s="2" t="s">
        <v>4054</v>
      </c>
      <c r="B101" s="1" t="s">
        <v>4055</v>
      </c>
      <c r="C101" s="1" t="s">
        <v>4056</v>
      </c>
      <c r="D101" s="1" t="s">
        <v>5443</v>
      </c>
      <c r="E101" s="5" t="str">
        <f>HYPERLINK("mailto:info@atlantaphotographygroup.org","info@atlantaphotographygroup.org")</f>
        <v>info@atlantaphotographygroup.org</v>
      </c>
      <c r="F101" s="6" t="str">
        <f>HYPERLINK("http://www.atlantaphotographygroup.org")</f>
        <v>http://www.atlantaphotographygroup.org</v>
      </c>
      <c r="G101" s="5" t="str">
        <f>HYPERLINK("https://www.facebook.com/atlantaphotographygroup")</f>
        <v>https://www.facebook.com/atlantaphotographygroup</v>
      </c>
      <c r="H101" s="5" t="str">
        <f>HYPERLINK("https://twitter.com/APGGallery")</f>
        <v>https://twitter.com/APGGallery</v>
      </c>
    </row>
    <row r="102" spans="1:6" ht="15">
      <c r="A102" s="2" t="s">
        <v>2443</v>
      </c>
      <c r="B102" s="1" t="s">
        <v>2444</v>
      </c>
      <c r="C102" s="1" t="s">
        <v>2445</v>
      </c>
      <c r="D102" s="1" t="s">
        <v>4998</v>
      </c>
      <c r="E102" s="5" t="str">
        <f>HYPERLINK("mailto:info@PreserveAtlanta.com","info@PreserveAtlanta.com")</f>
        <v>info@PreserveAtlanta.com</v>
      </c>
      <c r="F102" s="6" t="str">
        <f>HYPERLINK("http://www.atlantapreservationcenter.com/index")</f>
        <v>http://www.atlantapreservationcenter.com/index</v>
      </c>
    </row>
    <row r="103" spans="1:8" ht="15">
      <c r="A103" s="2" t="s">
        <v>4057</v>
      </c>
      <c r="B103" s="1" t="s">
        <v>4058</v>
      </c>
      <c r="C103" s="1" t="s">
        <v>4059</v>
      </c>
      <c r="D103" s="1" t="s">
        <v>5444</v>
      </c>
      <c r="E103" s="5" t="str">
        <f>HYPERLINK("mailto:info@AtlantaPrintmakersStudio.org","info@AtlantaPrintmakersStudio.org")</f>
        <v>info@AtlantaPrintmakersStudio.org</v>
      </c>
      <c r="F103" s="6" t="str">
        <f>HYPERLINK("http://www.atlantaprintmakersstudio.org")</f>
        <v>http://www.atlantaprintmakersstudio.org</v>
      </c>
      <c r="G103" s="5" t="str">
        <f>HYPERLINK("https://www.facebook.com/AtlantaPrintmakersStudio")</f>
        <v>https://www.facebook.com/AtlantaPrintmakersStudio</v>
      </c>
      <c r="H103" s="5" t="str">
        <f>HYPERLINK("https://twitter.com/Printmakers_ATL")</f>
        <v>https://twitter.com/Printmakers_ATL</v>
      </c>
    </row>
    <row r="104" spans="1:6" ht="30">
      <c r="A104" s="2" t="s">
        <v>3844</v>
      </c>
      <c r="B104" s="1" t="s">
        <v>3549</v>
      </c>
      <c r="C104" s="1" t="s">
        <v>3845</v>
      </c>
      <c r="D104" s="1" t="s">
        <v>5388</v>
      </c>
      <c r="F104" s="6" t="str">
        <f>HYPERLINK("https://www.atlantasymphony.org/Education-And-Community/Educators")</f>
        <v>https://www.atlantasymphony.org/Education-And-Community/Educators</v>
      </c>
    </row>
    <row r="105" spans="1:6" ht="15">
      <c r="A105" s="2" t="s">
        <v>3274</v>
      </c>
      <c r="B105" s="1" t="s">
        <v>3275</v>
      </c>
      <c r="C105" s="1" t="s">
        <v>3276</v>
      </c>
      <c r="D105" s="1" t="s">
        <v>5242</v>
      </c>
      <c r="E105" s="5" t="str">
        <f>HYPERLINK("mailto:library@atlantatech.edu","library@atlantatech.edu")</f>
        <v>library@atlantatech.edu</v>
      </c>
      <c r="F105" s="6" t="str">
        <f>HYPERLINK("https://atlantatech.edu/student-services/campus-resources/library/")</f>
        <v>https://atlantatech.edu/student-services/campus-resources/library/</v>
      </c>
    </row>
    <row r="106" spans="1:8" ht="15">
      <c r="A106" s="2" t="s">
        <v>4060</v>
      </c>
      <c r="B106" s="1" t="s">
        <v>4061</v>
      </c>
      <c r="C106" s="1" t="s">
        <v>4062</v>
      </c>
      <c r="D106" s="1" t="s">
        <v>5445</v>
      </c>
      <c r="E106" s="5" t="str">
        <f>HYPERLINK("mailto:info@aysc.org","info@aysc.org")</f>
        <v>info@aysc.org</v>
      </c>
      <c r="F106" s="6" t="str">
        <f>HYPERLINK("http://www.aysc.org/")</f>
        <v>http://www.aysc.org/</v>
      </c>
      <c r="G106" s="5" t="str">
        <f>HYPERLINK("https://www.facebook.com/AtlantaYoungSingers")</f>
        <v>https://www.facebook.com/AtlantaYoungSingers</v>
      </c>
      <c r="H106" s="5" t="str">
        <f>HYPERLINK("https://twitter.com/AtlYoungSingers")</f>
        <v>https://twitter.com/AtlYoungSingers</v>
      </c>
    </row>
    <row r="107" spans="1:6" ht="30">
      <c r="A107" s="2" t="s">
        <v>172</v>
      </c>
      <c r="B107" s="1" t="s">
        <v>173</v>
      </c>
      <c r="C107" s="1" t="s">
        <v>174</v>
      </c>
      <c r="D107" s="1" t="s">
        <v>4335</v>
      </c>
      <c r="E107" s="5" t="str">
        <f>HYPERLINK("mailto:victor.simmons@fultoncountyga.gov","victor.simmons@fultoncountyga.gov")</f>
        <v>victor.simmons@fultoncountyga.gov</v>
      </c>
      <c r="F107" s="6" t="str">
        <f>HYPERLINK("http://www.afpls.org/aarl")</f>
        <v>http://www.afpls.org/aarl</v>
      </c>
    </row>
    <row r="108" spans="1:6" ht="15">
      <c r="A108" s="2" t="s">
        <v>2205</v>
      </c>
      <c r="B108" s="1" t="s">
        <v>2206</v>
      </c>
      <c r="C108" s="1" t="s">
        <v>2207</v>
      </c>
      <c r="D108" s="1" t="s">
        <v>4932</v>
      </c>
      <c r="E108" s="5" t="str">
        <f>HYPERLINK("mailto:boutwater@prlib.org","boutwater@prlib.org")</f>
        <v>boutwater@prlib.org</v>
      </c>
      <c r="F108" s="6" t="str">
        <f>HYPERLINK("http://auburn.prlib.org/")</f>
        <v>http://auburn.prlib.org/</v>
      </c>
    </row>
    <row r="109" spans="1:6" ht="15">
      <c r="A109" s="2" t="s">
        <v>435</v>
      </c>
      <c r="B109" s="1" t="s">
        <v>436</v>
      </c>
      <c r="C109" s="1" t="s">
        <v>437</v>
      </c>
      <c r="D109" s="1" t="s">
        <v>4403</v>
      </c>
      <c r="E109" s="5" t="str">
        <f>HYPERLINK("mailto:programs@augustacanal.com","programs@augustacanal.com")</f>
        <v>programs@augustacanal.com</v>
      </c>
      <c r="F109" s="6" t="str">
        <f>HYPERLINK("https://augustacanal.com/")</f>
        <v>https://augustacanal.com/</v>
      </c>
    </row>
    <row r="110" spans="1:6" ht="15">
      <c r="A110" s="2" t="s">
        <v>2446</v>
      </c>
      <c r="B110" s="1" t="s">
        <v>2447</v>
      </c>
      <c r="C110" s="1" t="s">
        <v>2448</v>
      </c>
      <c r="D110" s="1" t="s">
        <v>4999</v>
      </c>
      <c r="E110" s="5" t="str">
        <f>HYPERLINK("mailto:augustagensociety@comcast.net","augustagensociety@comcast.net")</f>
        <v>augustagensociety@comcast.net</v>
      </c>
      <c r="F110" s="6" t="str">
        <f>HYPERLINK("http://augustagensociety.org")</f>
        <v>http://augustagensociety.org</v>
      </c>
    </row>
    <row r="111" spans="1:7" ht="15">
      <c r="A111" s="2" t="s">
        <v>3573</v>
      </c>
      <c r="D111" s="1" t="s">
        <v>5320</v>
      </c>
      <c r="G111" s="5" t="str">
        <f>HYPERLINK("https://www.facebook.com/AIRPSHOF")</f>
        <v>https://www.facebook.com/AIRPSHOF</v>
      </c>
    </row>
    <row r="112" spans="1:7" ht="15">
      <c r="A112" s="2" t="s">
        <v>77</v>
      </c>
      <c r="B112" s="1" t="s">
        <v>78</v>
      </c>
      <c r="C112" s="1" t="s">
        <v>79</v>
      </c>
      <c r="D112" s="1" t="s">
        <v>4312</v>
      </c>
      <c r="E112" s="5" t="str">
        <f>HYPERLINK("mailto:info@augustajewishmuseum.org","info@augustajewishmuseum.org")</f>
        <v>info@augustajewishmuseum.org</v>
      </c>
      <c r="F112" s="6" t="str">
        <f>HYPERLINK("https://www.augustajewishmuseum.org/")</f>
        <v>https://www.augustajewishmuseum.org/</v>
      </c>
      <c r="G112" s="5" t="str">
        <f>HYPERLINK("https://www.facebook.com/Augusta-Jewish-Museum-633228420423108")</f>
        <v>https://www.facebook.com/Augusta-Jewish-Museum-633228420423108</v>
      </c>
    </row>
    <row r="113" spans="1:6" ht="15">
      <c r="A113" s="2" t="s">
        <v>414</v>
      </c>
      <c r="B113" s="1" t="s">
        <v>415</v>
      </c>
      <c r="C113" s="1" t="s">
        <v>416</v>
      </c>
      <c r="D113" s="1" t="s">
        <v>4396</v>
      </c>
      <c r="E113" s="5" t="str">
        <f>HYPERLINK("mailto:amh@csra.net","amh@csra.net")</f>
        <v>amh@csra.net</v>
      </c>
      <c r="F113" s="6" t="str">
        <f>HYPERLINK("http://www.augustamuseum.org/")</f>
        <v>http://www.augustamuseum.org/</v>
      </c>
    </row>
    <row r="114" spans="1:8" ht="15">
      <c r="A114" s="2" t="s">
        <v>4063</v>
      </c>
      <c r="B114" s="1" t="s">
        <v>4064</v>
      </c>
      <c r="C114" s="1" t="s">
        <v>4065</v>
      </c>
      <c r="D114" s="1" t="s">
        <v>5446</v>
      </c>
      <c r="E114" s="5" t="str">
        <f>HYPERLINK("mailto:info@augustaplayers.org","info@augustaplayers.org")</f>
        <v>info@augustaplayers.org</v>
      </c>
      <c r="F114" s="6" t="str">
        <f>HYPERLINK("https://www.augustaplayers.org/")</f>
        <v>https://www.augustaplayers.org/</v>
      </c>
      <c r="G114" s="5" t="str">
        <f>HYPERLINK("https://www.facebook.com/TheAugustaPlayers")</f>
        <v>https://www.facebook.com/TheAugustaPlayers</v>
      </c>
      <c r="H114" s="5" t="str">
        <f>HYPERLINK("https://twitter.com/Augusta_Players")</f>
        <v>https://twitter.com/Augusta_Players</v>
      </c>
    </row>
    <row r="115" spans="1:6" ht="15">
      <c r="A115" s="2" t="s">
        <v>2449</v>
      </c>
      <c r="B115" s="1" t="s">
        <v>2450</v>
      </c>
      <c r="C115" s="1" t="s">
        <v>2451</v>
      </c>
      <c r="D115" s="1" t="s">
        <v>5000</v>
      </c>
      <c r="E115" s="5" t="str">
        <f>HYPERLINK("mailto:archs1946@gmail.com","archs1946@gmail.com")</f>
        <v>archs1946@gmail.com</v>
      </c>
      <c r="F115" s="6" t="str">
        <f>HYPERLINK("https://www.thearchs.org/")</f>
        <v>https://www.thearchs.org/</v>
      </c>
    </row>
    <row r="116" spans="1:6" ht="15">
      <c r="A116" s="2" t="s">
        <v>3442</v>
      </c>
      <c r="B116" s="1" t="s">
        <v>560</v>
      </c>
      <c r="C116" s="1" t="s">
        <v>3443</v>
      </c>
      <c r="D116" s="1" t="s">
        <v>5000</v>
      </c>
      <c r="E116" s="5" t="str">
        <f>HYPERLINK("mailto:archs1946@gmail.com","archs1946@gmail.com")</f>
        <v>archs1946@gmail.com</v>
      </c>
      <c r="F116" s="6" t="str">
        <f>HYPERLINK("http://www.thearchs.org/")</f>
        <v>http://www.thearchs.org/</v>
      </c>
    </row>
    <row r="117" spans="1:6" ht="15">
      <c r="A117" s="2" t="s">
        <v>3277</v>
      </c>
      <c r="B117" s="1" t="s">
        <v>3278</v>
      </c>
      <c r="C117" s="1" t="s">
        <v>3279</v>
      </c>
      <c r="D117" s="1" t="s">
        <v>5243</v>
      </c>
      <c r="F117" s="6" t="str">
        <f>HYPERLINK("https://www.augustatech.edu/community-and-business/library.cms")</f>
        <v>https://www.augustatech.edu/community-and-business/library.cms</v>
      </c>
    </row>
    <row r="118" spans="1:6" ht="15">
      <c r="A118" s="2" t="s">
        <v>562</v>
      </c>
      <c r="B118" s="1" t="s">
        <v>563</v>
      </c>
      <c r="C118" s="1" t="s">
        <v>564</v>
      </c>
      <c r="D118" s="1" t="s">
        <v>4436</v>
      </c>
      <c r="E118" s="5" t="str">
        <f>HYPERLINK("mailto:libref@augusta.edu","libref@augusta.edu")</f>
        <v>libref@augusta.edu</v>
      </c>
      <c r="F118" s="6" t="str">
        <f>HYPERLINK("https://www.augusta.edu/library/greenblatt/")</f>
        <v>https://www.augusta.edu/library/greenblatt/</v>
      </c>
    </row>
    <row r="119" spans="1:6" ht="15">
      <c r="A119" s="2" t="s">
        <v>2049</v>
      </c>
      <c r="B119" s="1" t="s">
        <v>318</v>
      </c>
      <c r="C119" s="1" t="s">
        <v>2050</v>
      </c>
      <c r="D119" s="1" t="s">
        <v>4890</v>
      </c>
      <c r="F119" s="6" t="str">
        <f>HYPERLINK("https://arcpls.org/locations/main-hq/")</f>
        <v>https://arcpls.org/locations/main-hq/</v>
      </c>
    </row>
    <row r="120" spans="1:6" ht="30">
      <c r="A120" s="2" t="s">
        <v>2452</v>
      </c>
      <c r="B120" s="1" t="s">
        <v>318</v>
      </c>
      <c r="C120" s="1" t="s">
        <v>2453</v>
      </c>
      <c r="D120" s="1" t="s">
        <v>5001</v>
      </c>
      <c r="E120" s="5" t="str">
        <f>HYPERLINK("mailto:genealogy@arcpls.org","genealogy@arcpls.org")</f>
        <v>genealogy@arcpls.org</v>
      </c>
      <c r="F120" s="6" t="str">
        <f>HYPERLINK("https://arcpls.org/georgia-heritage-room/about-the-georgia-heritage-room/")</f>
        <v>https://arcpls.org/georgia-heritage-room/about-the-georgia-heritage-room/</v>
      </c>
    </row>
    <row r="121" spans="1:6" ht="15">
      <c r="A121" s="2" t="s">
        <v>317</v>
      </c>
      <c r="B121" s="1" t="s">
        <v>318</v>
      </c>
      <c r="C121" s="1" t="s">
        <v>319</v>
      </c>
      <c r="F121" s="6" t="str">
        <f>HYPERLINK("http://arcpls.org/")</f>
        <v>http://arcpls.org/</v>
      </c>
    </row>
    <row r="122" spans="1:4" ht="15">
      <c r="A122" s="2" t="s">
        <v>2457</v>
      </c>
      <c r="D122" s="1" t="s">
        <v>5003</v>
      </c>
    </row>
    <row r="123" spans="1:6" ht="15">
      <c r="A123" s="2" t="s">
        <v>2454</v>
      </c>
      <c r="B123" s="1" t="s">
        <v>2455</v>
      </c>
      <c r="C123" s="1" t="s">
        <v>2456</v>
      </c>
      <c r="D123" s="1" t="s">
        <v>5002</v>
      </c>
      <c r="E123" s="5" t="str">
        <f>HYPERLINK("mailto:communityaffairs@austellga.gov","communityaffairs@austellga.gov")</f>
        <v>communityaffairs@austellga.gov</v>
      </c>
      <c r="F123" s="6" t="str">
        <f>HYPERLINK("https://www.austellga.gov/Museum.aspx")</f>
        <v>https://www.austellga.gov/Museum.aspx</v>
      </c>
    </row>
    <row r="124" spans="1:6" ht="15">
      <c r="A124" s="2" t="s">
        <v>417</v>
      </c>
      <c r="B124" s="1" t="s">
        <v>418</v>
      </c>
      <c r="C124" s="1" t="s">
        <v>419</v>
      </c>
      <c r="D124" s="1" t="s">
        <v>4397</v>
      </c>
      <c r="E124" s="5" t="str">
        <f>HYPERLINK("mailto:info@autreymill.org","info@autreymill.org")</f>
        <v>info@autreymill.org</v>
      </c>
      <c r="F124" s="6" t="str">
        <f>HYPERLINK("http://www.autreymill.org")</f>
        <v>http://www.autreymill.org</v>
      </c>
    </row>
    <row r="125" spans="1:6" ht="15">
      <c r="A125" s="2" t="s">
        <v>3574</v>
      </c>
      <c r="B125" s="1" t="s">
        <v>3575</v>
      </c>
      <c r="C125" s="1" t="s">
        <v>3576</v>
      </c>
      <c r="D125" s="1" t="s">
        <v>5321</v>
      </c>
      <c r="E125" s="5" t="str">
        <f>HYPERLINK("mailto:info@AHTC360.org","info@AHTC360.org")</f>
        <v>info@AHTC360.org</v>
      </c>
      <c r="F125" s="6" t="str">
        <f>HYPERLINK("https://ahtc360.org/")</f>
        <v>https://ahtc360.org/</v>
      </c>
    </row>
    <row r="126" spans="1:6" ht="15">
      <c r="A126" s="2" t="s">
        <v>4066</v>
      </c>
      <c r="B126" s="1" t="s">
        <v>364</v>
      </c>
      <c r="C126" s="1" t="s">
        <v>4067</v>
      </c>
      <c r="D126" s="1" t="s">
        <v>5447</v>
      </c>
      <c r="E126" s="5" t="str">
        <f>HYPERLINK("mailto:thebacklotplayers@gmail.com","thebacklotplayers@gmail.com")</f>
        <v>thebacklotplayers@gmail.com</v>
      </c>
      <c r="F126" s="6" t="str">
        <f>HYPERLINK("http://www.thebacklotplayers.org/")</f>
        <v>http://www.thebacklotplayers.org/</v>
      </c>
    </row>
    <row r="127" spans="1:3" ht="15">
      <c r="A127" s="2" t="s">
        <v>536</v>
      </c>
      <c r="C127" s="1" t="s">
        <v>537</v>
      </c>
    </row>
    <row r="128" spans="1:6" ht="15">
      <c r="A128" s="2" t="s">
        <v>1345</v>
      </c>
      <c r="B128" s="1" t="s">
        <v>1346</v>
      </c>
      <c r="C128" s="1" t="s">
        <v>1347</v>
      </c>
      <c r="D128" s="1" t="s">
        <v>4680</v>
      </c>
      <c r="F128" s="6" t="str">
        <f>HYPERLINK("http://www.desototrail.org/baker-county-library.html")</f>
        <v>http://www.desototrail.org/baker-county-library.html</v>
      </c>
    </row>
    <row r="129" spans="1:6" ht="15">
      <c r="A129" s="2" t="s">
        <v>550</v>
      </c>
      <c r="B129" s="1" t="s">
        <v>551</v>
      </c>
      <c r="C129" s="1" t="s">
        <v>552</v>
      </c>
      <c r="D129" s="1" t="s">
        <v>4432</v>
      </c>
      <c r="E129" s="5" t="str">
        <f>HYPERLINK("mailto:baldwinlibrary@abac.edu","baldwinlibrary@abac.edu")</f>
        <v>baldwinlibrary@abac.edu</v>
      </c>
      <c r="F129" s="6" t="str">
        <f>HYPERLINK("https://www.abac.edu/academics/abac-libraries/")</f>
        <v>https://www.abac.edu/academics/abac-libraries/</v>
      </c>
    </row>
    <row r="130" spans="1:6" ht="15">
      <c r="A130" s="2" t="s">
        <v>913</v>
      </c>
      <c r="B130" s="1" t="s">
        <v>914</v>
      </c>
      <c r="C130" s="1" t="s">
        <v>915</v>
      </c>
      <c r="D130" s="1" t="s">
        <v>4543</v>
      </c>
      <c r="E130" s="5" t="str">
        <f>HYPERLINK("mailto:dyej@seqlib.org","dyej@seqlib.org")</f>
        <v>dyej@seqlib.org</v>
      </c>
      <c r="F130" s="6" t="str">
        <f>HYPERLINK("https://www.sequoyahregionallibrary.org/ball-ground/")</f>
        <v>https://www.sequoyahregionallibrary.org/ball-ground/</v>
      </c>
    </row>
    <row r="131" spans="1:6" ht="15">
      <c r="A131" s="2" t="s">
        <v>1737</v>
      </c>
      <c r="B131" s="1" t="s">
        <v>1738</v>
      </c>
      <c r="C131" s="1" t="s">
        <v>1739</v>
      </c>
      <c r="D131" s="1" t="s">
        <v>4791</v>
      </c>
      <c r="E131" s="5" t="str">
        <f>HYPERLINK("mailto:bandyheritagecenter@daltonstate.edu","bandyheritagecenter@daltonstate.edu")</f>
        <v>bandyheritagecenter@daltonstate.edu</v>
      </c>
      <c r="F131" s="6" t="str">
        <f>HYPERLINK("http://www.bandyheritagecenter.org/")</f>
        <v>http://www.bandyheritagecenter.org/</v>
      </c>
    </row>
    <row r="132" spans="1:6" ht="15">
      <c r="A132" s="2" t="s">
        <v>2458</v>
      </c>
      <c r="D132" s="1" t="s">
        <v>5004</v>
      </c>
      <c r="E132" s="5" t="str">
        <f>HYPERLINK("mailto:info@BanksCountyHistoricalSociety.org","info@BanksCountyHistoricalSociety.org")</f>
        <v>info@BanksCountyHistoricalSociety.org</v>
      </c>
      <c r="F132" s="6" t="str">
        <f>HYPERLINK("http://www.bankscountyhistoricalsociety.org/")</f>
        <v>http://www.bankscountyhistoricalsociety.org/</v>
      </c>
    </row>
    <row r="133" spans="1:6" ht="15">
      <c r="A133" s="2" t="s">
        <v>766</v>
      </c>
      <c r="B133" s="1" t="s">
        <v>767</v>
      </c>
      <c r="C133" s="1" t="s">
        <v>768</v>
      </c>
      <c r="D133" s="1" t="s">
        <v>4494</v>
      </c>
      <c r="E133" s="5" t="str">
        <f>HYPERLINK("mailto:skrumnow@prlib.org","skrumnow@prlib.org")</f>
        <v>skrumnow@prlib.org</v>
      </c>
      <c r="F133" s="6" t="str">
        <f>HYPERLINK("http://banks.prlib.org/")</f>
        <v>http://banks.prlib.org/</v>
      </c>
    </row>
    <row r="134" spans="1:6" ht="15">
      <c r="A134" s="2" t="s">
        <v>3577</v>
      </c>
      <c r="B134" s="1" t="s">
        <v>3578</v>
      </c>
      <c r="C134" s="1" t="s">
        <v>3579</v>
      </c>
      <c r="D134" s="1" t="s">
        <v>5322</v>
      </c>
      <c r="E134" s="5" t="str">
        <f>HYPERLINK("mailto:jackie@baptisthistory.org","jackie@baptisthistory.org")</f>
        <v>jackie@baptisthistory.org</v>
      </c>
      <c r="F134" s="6" t="str">
        <f>HYPERLINK("http://www.baptisthistory.org/")</f>
        <v>http://www.baptisthistory.org/</v>
      </c>
    </row>
    <row r="135" spans="1:6" ht="15">
      <c r="A135" s="2" t="s">
        <v>2467</v>
      </c>
      <c r="D135" s="1" t="s">
        <v>5008</v>
      </c>
      <c r="F135" s="6" t="str">
        <f>HYPERLINK("http://sites.rootsweb.com/~galamar/society.html")</f>
        <v>http://sites.rootsweb.com/~galamar/society.html</v>
      </c>
    </row>
    <row r="136" spans="1:6" ht="15">
      <c r="A136" s="2" t="s">
        <v>1423</v>
      </c>
      <c r="B136" s="1" t="s">
        <v>1424</v>
      </c>
      <c r="C136" s="1" t="s">
        <v>1425</v>
      </c>
      <c r="D136" s="1" t="s">
        <v>4705</v>
      </c>
      <c r="F136" s="6" t="str">
        <f>HYPERLINK("http://www.lamarlibrary.org/")</f>
        <v>http://www.lamarlibrary.org/</v>
      </c>
    </row>
    <row r="137" spans="1:6" ht="30">
      <c r="A137" s="2" t="s">
        <v>420</v>
      </c>
      <c r="B137" s="1" t="s">
        <v>421</v>
      </c>
      <c r="C137" s="1" t="s">
        <v>422</v>
      </c>
      <c r="D137" s="1" t="s">
        <v>4398</v>
      </c>
      <c r="E137" s="5" t="str">
        <f>HYPERLINK("mailto:rwinebarger@roswellgov.com","rwinebarger@roswellgov.com")</f>
        <v>rwinebarger@roswellgov.com</v>
      </c>
      <c r="F137" s="6" t="str">
        <f>HYPERLINK("https://www.roswellgov.com/discover-us/southern-trilogy-historic-house-museums/barrington-hall")</f>
        <v>https://www.roswellgov.com/discover-us/southern-trilogy-historic-house-museums/barrington-hall</v>
      </c>
    </row>
    <row r="138" spans="1:6" ht="30">
      <c r="A138" s="2" t="s">
        <v>2468</v>
      </c>
      <c r="B138" s="1" t="s">
        <v>2469</v>
      </c>
      <c r="C138" s="1" t="s">
        <v>2470</v>
      </c>
      <c r="D138" s="1" t="s">
        <v>5009</v>
      </c>
      <c r="F138" s="6" t="str">
        <f>HYPERLINK("https://www.cityofwinder.com/about/winder-history/barrow-county-museum")</f>
        <v>https://www.cityofwinder.com/about/winder-history/barrow-county-museum</v>
      </c>
    </row>
    <row r="139" spans="1:7" ht="15">
      <c r="A139" s="2" t="s">
        <v>3583</v>
      </c>
      <c r="D139" s="1" t="s">
        <v>5324</v>
      </c>
      <c r="E139" s="5" t="str">
        <f>HYPERLINK("mailto:preservebarrow@windstream.net","preservebarrow@windstream.net")</f>
        <v>preservebarrow@windstream.net</v>
      </c>
      <c r="F139" s="6" t="str">
        <f>HYPERLINK("https://preservebarrow.wordpress.com/")</f>
        <v>https://preservebarrow.wordpress.com/</v>
      </c>
      <c r="G139" s="5" t="str">
        <f>HYPERLINK("https://www.facebook.com/Barrow-Preservation-Society-Inc-171991526193579")</f>
        <v>https://www.facebook.com/Barrow-Preservation-Society-Inc-171991526193579</v>
      </c>
    </row>
    <row r="140" spans="1:6" ht="15">
      <c r="A140" s="2" t="s">
        <v>2474</v>
      </c>
      <c r="B140" s="1" t="s">
        <v>2475</v>
      </c>
      <c r="C140" s="1" t="s">
        <v>2476</v>
      </c>
      <c r="D140" s="1" t="s">
        <v>5011</v>
      </c>
      <c r="E140" s="5" t="str">
        <f>HYPERLINK("mailto:pradeep.das@beulah.org","pradeep.das@beulah.org")</f>
        <v>pradeep.das@beulah.org</v>
      </c>
      <c r="F140" s="6" t="str">
        <f>HYPERLINK("https://www.beulah.edu/Library")</f>
        <v>https://www.beulah.edu/Library</v>
      </c>
    </row>
    <row r="141" spans="1:7" ht="15">
      <c r="A141" s="2" t="s">
        <v>2471</v>
      </c>
      <c r="B141" s="1" t="s">
        <v>2472</v>
      </c>
      <c r="C141" s="1" t="s">
        <v>2473</v>
      </c>
      <c r="D141" s="1" t="s">
        <v>5010</v>
      </c>
      <c r="E141" s="5" t="str">
        <f>HYPERLINK("mailto:genhelp2@att.net","genhelp2@att.net")</f>
        <v>genhelp2@att.net</v>
      </c>
      <c r="F141" s="6" t="str">
        <f>HYPERLINK("http://www.bartowcountygenealogicalsociety.org/")</f>
        <v>http://www.bartowcountygenealogicalsociety.org/</v>
      </c>
      <c r="G141" s="5" t="str">
        <f>HYPERLINK("https://www.facebook.com/Bartow-County-Genealogical-Society-and-Family-Research-Library-1202102333154062")</f>
        <v>https://www.facebook.com/Bartow-County-Genealogical-Society-and-Family-Research-Library-1202102333154062</v>
      </c>
    </row>
    <row r="142" spans="1:6" ht="15">
      <c r="A142" s="2" t="s">
        <v>1740</v>
      </c>
      <c r="B142" s="1" t="s">
        <v>1741</v>
      </c>
      <c r="C142" s="1" t="s">
        <v>1742</v>
      </c>
      <c r="D142" s="1" t="s">
        <v>4792</v>
      </c>
      <c r="E142" s="5" t="str">
        <f>HYPERLINK("mailto:treyg@bartowhistorymuseum.org","treyg@bartowhistorymuseum.org")</f>
        <v>treyg@bartowhistorymuseum.org</v>
      </c>
      <c r="F142" s="6" t="str">
        <f>HYPERLINK("http://www.bartowhistorymuseum.org")</f>
        <v>http://www.bartowhistorymuseum.org</v>
      </c>
    </row>
    <row r="143" spans="1:6" ht="30">
      <c r="A143" s="2" t="s">
        <v>2464</v>
      </c>
      <c r="B143" s="1" t="s">
        <v>2465</v>
      </c>
      <c r="C143" s="1" t="s">
        <v>2466</v>
      </c>
      <c r="D143" s="1" t="s">
        <v>5007</v>
      </c>
      <c r="E143" s="5" t="str">
        <f>HYPERLINK("mailto:sandym@bartowhistorymuseum.org","sandym@bartowhistorymuseum.org")</f>
        <v>sandym@bartowhistorymuseum.org</v>
      </c>
      <c r="F143" s="6" t="str">
        <f>HYPERLINK("http://bartowhistorymuseum.org/research/")</f>
        <v>http://bartowhistorymuseum.org/research/</v>
      </c>
    </row>
    <row r="144" spans="1:6" ht="15">
      <c r="A144" s="2" t="s">
        <v>3939</v>
      </c>
      <c r="B144" s="1" t="s">
        <v>3940</v>
      </c>
      <c r="C144" s="1" t="s">
        <v>3941</v>
      </c>
      <c r="F144" s="6" t="str">
        <f>HYPERLINK("https://concordcoveredbridge.org/category/battle-of-ruffs-mill/")</f>
        <v>https://concordcoveredbridge.org/category/battle-of-ruffs-mill/</v>
      </c>
    </row>
    <row r="145" spans="1:6" ht="15">
      <c r="A145" s="2" t="s">
        <v>2384</v>
      </c>
      <c r="B145" s="1" t="s">
        <v>2385</v>
      </c>
      <c r="C145" s="1" t="s">
        <v>2386</v>
      </c>
      <c r="D145" s="1" t="s">
        <v>4979</v>
      </c>
      <c r="E145" s="5" t="str">
        <f>HYPERLINK("mailto:engage@beachinstitute.org","engage@beachinstitute.org")</f>
        <v>engage@beachinstitute.org</v>
      </c>
      <c r="F145" s="6" t="str">
        <f>HYPERLINK("http://www.beachinstitute.org/")</f>
        <v>http://www.beachinstitute.org/</v>
      </c>
    </row>
    <row r="146" spans="1:7" ht="15">
      <c r="A146" s="2" t="s">
        <v>3114</v>
      </c>
      <c r="B146" s="1" t="s">
        <v>3115</v>
      </c>
      <c r="C146" s="1" t="s">
        <v>3116</v>
      </c>
      <c r="D146" s="1" t="s">
        <v>5196</v>
      </c>
      <c r="E146" s="5" t="str">
        <f>HYPERLINK("mailto:schc@sowega.net","schc@sowega.net")</f>
        <v>schc@sowega.net</v>
      </c>
      <c r="F146" s="6" t="str">
        <f>HYPERLINK("https://bedingfieldinn.wordpress.com/")</f>
        <v>https://bedingfieldinn.wordpress.com/</v>
      </c>
      <c r="G146" s="5" t="str">
        <f>HYPERLINK("https://www.facebook.com/Bedingfield-Inn-102166336544664")</f>
        <v>https://www.facebook.com/Bedingfield-Inn-102166336544664</v>
      </c>
    </row>
    <row r="147" spans="1:7" ht="15">
      <c r="A147" s="2" t="s">
        <v>426</v>
      </c>
      <c r="B147" s="1" t="s">
        <v>427</v>
      </c>
      <c r="C147" s="1" t="s">
        <v>428</v>
      </c>
      <c r="D147" s="1" t="s">
        <v>4400</v>
      </c>
      <c r="E147" s="5" t="str">
        <f>HYPERLINK("mailto:residenthostbellevue@hotmail.com","residenthostbellevue@hotmail.com")</f>
        <v>residenthostbellevue@hotmail.com</v>
      </c>
      <c r="F147" s="6" t="str">
        <f>HYPERLINK("https://bellevuelagrangega.org/")</f>
        <v>https://bellevuelagrangega.org/</v>
      </c>
      <c r="G147" s="5" t="str">
        <f>HYPERLINK("https://www.facebook.com/Bellevue-LaGrange-Womans-Club-Charitable-Trust-179219418800155")</f>
        <v>https://www.facebook.com/Bellevue-LaGrange-Womans-Club-Charitable-Trust-179219418800155</v>
      </c>
    </row>
    <row r="148" spans="1:7" ht="15">
      <c r="A148" s="2" t="s">
        <v>3956</v>
      </c>
      <c r="B148" s="1" t="s">
        <v>3957</v>
      </c>
      <c r="C148" s="1" t="s">
        <v>3958</v>
      </c>
      <c r="F148" s="6" t="str">
        <f>HYPERLINK("http://www.berrienhouse.org/")</f>
        <v>http://www.berrienhouse.org/</v>
      </c>
      <c r="G148" s="5" t="str">
        <f>HYPERLINK("https://www.facebook.com/Berrien-House-470182653048908")</f>
        <v>https://www.facebook.com/Berrien-House-470182653048908</v>
      </c>
    </row>
    <row r="149" spans="1:6" ht="15">
      <c r="A149" s="2" t="s">
        <v>4068</v>
      </c>
      <c r="B149" s="1" t="s">
        <v>4069</v>
      </c>
      <c r="C149" s="1" t="s">
        <v>4070</v>
      </c>
      <c r="D149" s="1" t="s">
        <v>5448</v>
      </c>
      <c r="E149" s="5" t="str">
        <f>HYPERLINK("mailto:aseneth@besharatgallery.com","aseneth@besharatgallery.com")</f>
        <v>aseneth@besharatgallery.com</v>
      </c>
      <c r="F149" s="6" t="str">
        <f>HYPERLINK("http://atlanta.besharatgallery.com/")</f>
        <v>http://atlanta.besharatgallery.com/</v>
      </c>
    </row>
    <row r="150" spans="1:6" ht="15">
      <c r="A150" s="2" t="s">
        <v>829</v>
      </c>
      <c r="B150" s="1" t="s">
        <v>830</v>
      </c>
      <c r="C150" s="1" t="s">
        <v>831</v>
      </c>
      <c r="D150" s="1" t="s">
        <v>4515</v>
      </c>
      <c r="E150" s="5" t="str">
        <f>HYPERLINK("mailto:dbrown@wgrls.org","dbrown@wgrls.org")</f>
        <v>dbrown@wgrls.org</v>
      </c>
      <c r="F150" s="6" t="str">
        <f>HYPERLINK("http://www.wgrls.org/visit/lithiasprings/")</f>
        <v>http://www.wgrls.org/visit/lithiasprings/</v>
      </c>
    </row>
    <row r="151" spans="1:6" ht="15">
      <c r="A151" s="2" t="s">
        <v>700</v>
      </c>
      <c r="B151" s="1" t="s">
        <v>701</v>
      </c>
      <c r="C151" s="1" t="s">
        <v>702</v>
      </c>
      <c r="D151" s="1" t="s">
        <v>4475</v>
      </c>
      <c r="F151" s="6" t="str">
        <f>HYPERLINK("http://www.beulahruckermuseum.org/")</f>
        <v>http://www.beulahruckermuseum.org/</v>
      </c>
    </row>
    <row r="152" spans="1:7" ht="15">
      <c r="A152" s="2" t="s">
        <v>3584</v>
      </c>
      <c r="B152" s="1" t="s">
        <v>3585</v>
      </c>
      <c r="C152" s="1" t="s">
        <v>3586</v>
      </c>
      <c r="D152" s="1" t="s">
        <v>5325</v>
      </c>
      <c r="E152" s="5" t="str">
        <f>HYPERLINK("mailto:info@biblicalhistorycenter.com","info@biblicalhistorycenter.com")</f>
        <v>info@biblicalhistorycenter.com</v>
      </c>
      <c r="F152" s="6" t="str">
        <f>HYPERLINK("https://biblicalhistorycenter.com/")</f>
        <v>https://biblicalhistorycenter.com/</v>
      </c>
      <c r="G152" s="5" t="str">
        <f>HYPERLINK("https://www.facebook.com/biblicalhistorycenter")</f>
        <v>https://www.facebook.com/biblicalhistorycenter</v>
      </c>
    </row>
    <row r="153" spans="1:6" ht="15">
      <c r="A153" s="2" t="s">
        <v>1594</v>
      </c>
      <c r="B153" s="1" t="s">
        <v>1595</v>
      </c>
      <c r="C153" s="1" t="s">
        <v>1596</v>
      </c>
      <c r="D153" s="1" t="s">
        <v>4755</v>
      </c>
      <c r="F153" s="6" t="str">
        <f>HYPERLINK("https://hallcountylibrary.org/index.php/branch-locations")</f>
        <v>https://hallcountylibrary.org/index.php/branch-locations</v>
      </c>
    </row>
    <row r="154" spans="1:7" ht="30">
      <c r="A154" s="2" t="s">
        <v>3587</v>
      </c>
      <c r="B154" s="1" t="s">
        <v>3588</v>
      </c>
      <c r="C154" s="1" t="s">
        <v>3589</v>
      </c>
      <c r="D154" s="1" t="s">
        <v>5326</v>
      </c>
      <c r="F154" s="6" t="str">
        <f>HYPERLINK("http://www.gordoncountychamber.com/list/member/blackstock-southern-heritage-agricultural-museum-inc-8302")</f>
        <v>http://www.gordoncountychamber.com/list/member/blackstock-southern-heritage-agricultural-museum-inc-8302</v>
      </c>
      <c r="G154" s="5" t="str">
        <f>HYPERLINK("https://www.facebook.com/Blackstock-Southern-Heritage-Agricultural-Museum-100794101272873")</f>
        <v>https://www.facebook.com/Blackstock-Southern-Heritage-Agricultural-Museum-100794101272873</v>
      </c>
    </row>
    <row r="155" spans="1:7" ht="30">
      <c r="A155" s="2" t="s">
        <v>3587</v>
      </c>
      <c r="B155" s="1" t="s">
        <v>3588</v>
      </c>
      <c r="C155" s="1" t="s">
        <v>3589</v>
      </c>
      <c r="D155" s="1" t="s">
        <v>5327</v>
      </c>
      <c r="F155" s="6" t="str">
        <f>HYPERLINK("http://www.gordoncountychamber.com/list/member/blackstock-southern-heritage-agricultural-museum-inc-8302")</f>
        <v>http://www.gordoncountychamber.com/list/member/blackstock-southern-heritage-agricultural-museum-inc-8302</v>
      </c>
      <c r="G155" s="5" t="str">
        <f>HYPERLINK("https://www.facebook.com/Blackstock-Southern-Heritage-Agricultural-Museum-100794101272873")</f>
        <v>https://www.facebook.com/Blackstock-Southern-Heritage-Agricultural-Museum-100794101272873</v>
      </c>
    </row>
    <row r="156" spans="1:6" ht="15">
      <c r="A156" s="2" t="s">
        <v>3968</v>
      </c>
      <c r="B156" s="1" t="s">
        <v>3969</v>
      </c>
      <c r="C156" s="1" t="s">
        <v>3970</v>
      </c>
      <c r="D156" s="1" t="s">
        <v>5410</v>
      </c>
      <c r="F156" s="6" t="str">
        <f>HYPERLINK("http://www.bloomingdale-ga.com/")</f>
        <v>http://www.bloomingdale-ga.com/</v>
      </c>
    </row>
    <row r="157" spans="1:6" ht="30">
      <c r="A157" s="2" t="s">
        <v>3950</v>
      </c>
      <c r="B157" s="1" t="s">
        <v>3951</v>
      </c>
      <c r="C157" s="1" t="s">
        <v>3952</v>
      </c>
      <c r="D157" s="1" t="s">
        <v>5410</v>
      </c>
      <c r="F157" s="6" t="str">
        <f>HYPERLINK("http://www.bloomingdale-ga.com/Bloomingdale-History-Museum.html")</f>
        <v>http://www.bloomingdale-ga.com/Bloomingdale-History-Museum.html</v>
      </c>
    </row>
    <row r="158" spans="1:6" ht="15">
      <c r="A158" s="2" t="s">
        <v>175</v>
      </c>
      <c r="B158" s="1" t="s">
        <v>176</v>
      </c>
      <c r="C158" s="1" t="s">
        <v>177</v>
      </c>
      <c r="D158" s="1" t="s">
        <v>4336</v>
      </c>
      <c r="E158" s="5" t="str">
        <f>HYPERLINK("mailto:bgmuseum@mchsi.com","bgmuseum@mchsi.com")</f>
        <v>bgmuseum@mchsi.com</v>
      </c>
      <c r="F158" s="6" t="str">
        <f>HYPERLINK("https://www.fitzgeraldga.org/blue-and-gray-museum.html")</f>
        <v>https://www.fitzgeraldga.org/blue-and-gray-museum.html</v>
      </c>
    </row>
    <row r="159" spans="1:7" ht="15">
      <c r="A159" s="2" t="s">
        <v>4071</v>
      </c>
      <c r="B159" s="1" t="s">
        <v>4072</v>
      </c>
      <c r="C159" s="1" t="s">
        <v>4073</v>
      </c>
      <c r="D159" s="1" t="s">
        <v>5449</v>
      </c>
      <c r="E159" s="5" t="str">
        <f>HYPERLINK("mailto:sallye@bhnp.org","sallye@bhnp.org")</f>
        <v>sallye@bhnp.org</v>
      </c>
      <c r="F159" s="6" t="str">
        <f>HYPERLINK("https://bhnp.org/")</f>
        <v>https://bhnp.org/</v>
      </c>
      <c r="G159" s="5" t="str">
        <f>HYPERLINK("https://www.facebook.com/bhnpatlanta")</f>
        <v>https://www.facebook.com/bhnpatlanta</v>
      </c>
    </row>
    <row r="160" spans="1:6" ht="15">
      <c r="A160" s="2" t="s">
        <v>1743</v>
      </c>
      <c r="B160" s="1" t="s">
        <v>1744</v>
      </c>
      <c r="C160" s="1" t="s">
        <v>1745</v>
      </c>
      <c r="D160" s="1" t="s">
        <v>4793</v>
      </c>
      <c r="E160" s="5" t="str">
        <f>HYPERLINK("mailto:BlueRidgeArts@gmail.com","BlueRidgeArts@gmail.com")</f>
        <v>BlueRidgeArts@gmail.com</v>
      </c>
      <c r="F160" s="6" t="str">
        <f>HYPERLINK("https://www.blueridgearts.net/")</f>
        <v>https://www.blueridgearts.net/</v>
      </c>
    </row>
    <row r="161" spans="1:6" ht="15">
      <c r="A161" s="2" t="s">
        <v>919</v>
      </c>
      <c r="B161" s="1" t="s">
        <v>920</v>
      </c>
      <c r="C161" s="1" t="s">
        <v>921</v>
      </c>
      <c r="D161" s="1" t="s">
        <v>4545</v>
      </c>
      <c r="F161" s="6" t="str">
        <f>HYPERLINK("http://www.athenslibrary.org/bogart")</f>
        <v>http://www.athenslibrary.org/bogart</v>
      </c>
    </row>
    <row r="162" spans="1:7" ht="15">
      <c r="A162" s="2" t="s">
        <v>3444</v>
      </c>
      <c r="D162" s="1" t="s">
        <v>5290</v>
      </c>
      <c r="F162" s="6" t="str">
        <f>HYPERLINK("https://www.bonaventurehistorical.org/")</f>
        <v>https://www.bonaventurehistorical.org/</v>
      </c>
      <c r="G162" s="5" t="str">
        <f>HYPERLINK("https://www.facebook.com/Bonaventure-Historical-Society-Inc-293909501848")</f>
        <v>https://www.facebook.com/Bonaventure-Historical-Society-Inc-293909501848</v>
      </c>
    </row>
    <row r="163" spans="1:8" ht="15">
      <c r="A163" s="2" t="s">
        <v>438</v>
      </c>
      <c r="B163" s="1" t="s">
        <v>439</v>
      </c>
      <c r="C163" s="1" t="s">
        <v>440</v>
      </c>
      <c r="D163" s="1" t="s">
        <v>4404</v>
      </c>
      <c r="E163" s="5" t="str">
        <f>HYPERLINK("mailto:marionh@boothmuseum.org","marionh@boothmuseum.org")</f>
        <v>marionh@boothmuseum.org</v>
      </c>
      <c r="F163" s="6" t="str">
        <f>HYPERLINK("http://www.boothmuseum.org")</f>
        <v>http://www.boothmuseum.org</v>
      </c>
      <c r="G163" s="5" t="str">
        <f>HYPERLINK("https://www.facebook.com/boothmuseum")</f>
        <v>https://www.facebook.com/boothmuseum</v>
      </c>
      <c r="H163" s="5" t="str">
        <f>HYPERLINK("https://twitter.com/boothmuseum")</f>
        <v>https://twitter.com/boothmuseum</v>
      </c>
    </row>
    <row r="164" spans="1:6" ht="15">
      <c r="A164" s="2" t="s">
        <v>1477</v>
      </c>
      <c r="B164" s="1" t="s">
        <v>1478</v>
      </c>
      <c r="C164" s="1" t="s">
        <v>1479</v>
      </c>
      <c r="D164" s="1" t="s">
        <v>4723</v>
      </c>
      <c r="F164" s="6" t="str">
        <f>HYPERLINK("http://tcpls.org/locations-hours")</f>
        <v>http://tcpls.org/locations-hours</v>
      </c>
    </row>
    <row r="165" spans="1:6" ht="15">
      <c r="A165" s="2" t="s">
        <v>1746</v>
      </c>
      <c r="B165" s="1" t="s">
        <v>1747</v>
      </c>
      <c r="C165" s="1" t="s">
        <v>1748</v>
      </c>
      <c r="D165" s="1" t="s">
        <v>4794</v>
      </c>
      <c r="E165" s="5" t="str">
        <f>HYPERLINK("mailto:janicew527@aol.com","janicew527@aol.com")</f>
        <v>janicew527@aol.com</v>
      </c>
      <c r="F165" s="6" t="str">
        <f>HYPERLINK("https://bowdonhistorical.wixsite.com/bahs")</f>
        <v>https://bowdonhistorical.wixsite.com/bahs</v>
      </c>
    </row>
    <row r="166" spans="1:6" ht="15">
      <c r="A166" s="2" t="s">
        <v>2095</v>
      </c>
      <c r="B166" s="1" t="s">
        <v>1115</v>
      </c>
      <c r="C166" s="1" t="s">
        <v>2096</v>
      </c>
      <c r="D166" s="1" t="s">
        <v>4608</v>
      </c>
      <c r="F166" s="6" t="str">
        <f>HYPERLINK("https://elbertlibrary.org/")</f>
        <v>https://elbertlibrary.org/</v>
      </c>
    </row>
    <row r="167" spans="1:4" ht="15">
      <c r="A167" s="2" t="s">
        <v>1114</v>
      </c>
      <c r="B167" s="1" t="s">
        <v>1115</v>
      </c>
      <c r="C167" s="1" t="s">
        <v>1116</v>
      </c>
      <c r="D167" s="1" t="s">
        <v>4608</v>
      </c>
    </row>
    <row r="168" spans="1:3" ht="15">
      <c r="A168" s="2" t="s">
        <v>225</v>
      </c>
      <c r="C168" s="1" t="s">
        <v>226</v>
      </c>
    </row>
    <row r="169" spans="1:6" ht="15">
      <c r="A169" s="2" t="s">
        <v>3830</v>
      </c>
      <c r="B169" s="1" t="s">
        <v>3831</v>
      </c>
      <c r="C169" s="1" t="s">
        <v>3832</v>
      </c>
      <c r="D169" s="1" t="s">
        <v>5384</v>
      </c>
      <c r="F169" s="6" t="str">
        <f>HYPERLINK("https://www.wilsonboyhoodhome.org/")</f>
        <v>https://www.wilsonboyhoodhome.org/</v>
      </c>
    </row>
    <row r="170" spans="1:6" ht="30">
      <c r="A170" s="2" t="s">
        <v>1207</v>
      </c>
      <c r="B170" s="1" t="s">
        <v>1208</v>
      </c>
      <c r="C170" s="1" t="s">
        <v>1209</v>
      </c>
      <c r="D170" s="1" t="s">
        <v>4639</v>
      </c>
      <c r="E170" s="5" t="str">
        <f>HYPERLINK("mailto:kmoody@trrl.org","kmoody@trrl.org")</f>
        <v>kmoody@trrl.org</v>
      </c>
      <c r="F170" s="6" t="str">
        <f>HYPERLINK("https://threeriverslibraries.org/wordpress-dev/library-locations/brantley-county-public-library/")</f>
        <v>https://threeriverslibraries.org/wordpress-dev/library-locations/brantley-county-public-library/</v>
      </c>
    </row>
    <row r="171" spans="1:6" ht="15">
      <c r="A171" s="2" t="s">
        <v>2495</v>
      </c>
      <c r="E171" s="5" t="str">
        <f>HYPERLINK("mailto:chuckc@btconline.net","chuckc@btconline.net")</f>
        <v>chuckc@btconline.net</v>
      </c>
      <c r="F171" s="6" t="str">
        <f>HYPERLINK("http://sites.rootsweb.com/~gabrantl/branco-home.html")</f>
        <v>http://sites.rootsweb.com/~gabrantl/branco-home.html</v>
      </c>
    </row>
    <row r="172" spans="1:6" ht="15">
      <c r="A172" s="2" t="s">
        <v>775</v>
      </c>
      <c r="B172" s="1" t="s">
        <v>776</v>
      </c>
      <c r="C172" s="1" t="s">
        <v>777</v>
      </c>
      <c r="D172" s="1" t="s">
        <v>4497</v>
      </c>
      <c r="E172" s="5" t="str">
        <f>HYPERLINK("mailto:lhayes@prlib.org","lhayes@prlib.org")</f>
        <v>lhayes@prlib.org</v>
      </c>
      <c r="F172" s="6" t="str">
        <f>HYPERLINK("https://www.prlib.org/braselton")</f>
        <v>https://www.prlib.org/braselton</v>
      </c>
    </row>
    <row r="173" spans="1:6" ht="30">
      <c r="A173" s="2" t="s">
        <v>2496</v>
      </c>
      <c r="B173" s="1" t="s">
        <v>2497</v>
      </c>
      <c r="C173" s="1" t="s">
        <v>2498</v>
      </c>
      <c r="D173" s="1" t="s">
        <v>5016</v>
      </c>
      <c r="E173" s="5" t="str">
        <f>HYPERLINK("mailto:Daniel_R_Brown@nps.gov","Daniel_R_Brown@nps.gov")</f>
        <v>Daniel_R_Brown@nps.gov</v>
      </c>
      <c r="F173" s="6" t="str">
        <f>HYPERLINK("https://cfaia.org/visitor-centers-gift-shops/georgia-visitor-centers-gift-shops/brasstown-bald-recreation-area-visitor-centers-in-georgia/")</f>
        <v>https://cfaia.org/visitor-centers-gift-shops/georgia-visitor-centers-gift-shops/brasstown-bald-recreation-area-visitor-centers-in-georgia/</v>
      </c>
    </row>
    <row r="174" spans="1:3" ht="15">
      <c r="A174" s="2" t="s">
        <v>3590</v>
      </c>
      <c r="B174" s="1" t="s">
        <v>3591</v>
      </c>
      <c r="C174" s="1" t="s">
        <v>3592</v>
      </c>
    </row>
    <row r="175" spans="1:6" ht="15">
      <c r="A175" s="2" t="s">
        <v>2281</v>
      </c>
      <c r="B175" s="1" t="s">
        <v>2282</v>
      </c>
      <c r="C175" s="1" t="s">
        <v>2283</v>
      </c>
      <c r="D175" s="1" t="s">
        <v>4955</v>
      </c>
      <c r="E175" s="5" t="str">
        <f>HYPERLINK("mailto:galleries@brenau.edu","galleries@brenau.edu")</f>
        <v>galleries@brenau.edu</v>
      </c>
      <c r="F175" s="6" t="str">
        <f>HYPERLINK("https://galleries.brenau.edu/")</f>
        <v>https://galleries.brenau.edu/</v>
      </c>
    </row>
    <row r="176" spans="1:8" ht="15">
      <c r="A176" s="2" t="s">
        <v>4074</v>
      </c>
      <c r="B176" s="1" t="s">
        <v>4075</v>
      </c>
      <c r="C176" s="1" t="s">
        <v>4076</v>
      </c>
      <c r="D176" s="1" t="s">
        <v>5450</v>
      </c>
      <c r="E176" s="5" t="str">
        <f>HYPERLINK("mailto:info@bridgedagap.org","info@bridgedagap.org")</f>
        <v>info@bridgedagap.org</v>
      </c>
      <c r="F176" s="6" t="str">
        <f>HYPERLINK("https://bridgedagap.com/")</f>
        <v>https://bridgedagap.com/</v>
      </c>
      <c r="H176" s="5" t="str">
        <f>HYPERLINK("https://twitter.com/realbridgedagap")</f>
        <v>https://twitter.com/realbridgedagap</v>
      </c>
    </row>
    <row r="177" spans="1:6" ht="15">
      <c r="A177" s="2" t="s">
        <v>1021</v>
      </c>
      <c r="B177" s="1" t="s">
        <v>1022</v>
      </c>
      <c r="C177" s="1" t="s">
        <v>1023</v>
      </c>
      <c r="D177" s="1" t="s">
        <v>4578</v>
      </c>
      <c r="F177" s="6" t="str">
        <f>HYPERLINK("https://dekalblibrary.org/branches/broo")</f>
        <v>https://dekalblibrary.org/branches/broo</v>
      </c>
    </row>
    <row r="178" spans="1:4" ht="15">
      <c r="A178" s="2" t="s">
        <v>2488</v>
      </c>
      <c r="B178" s="1" t="s">
        <v>343</v>
      </c>
      <c r="D178" s="1" t="s">
        <v>4376</v>
      </c>
    </row>
    <row r="179" spans="1:7" ht="15">
      <c r="A179" s="2" t="s">
        <v>2912</v>
      </c>
      <c r="B179" s="1" t="s">
        <v>2913</v>
      </c>
      <c r="C179" s="1" t="s">
        <v>2914</v>
      </c>
      <c r="D179" s="1" t="s">
        <v>5142</v>
      </c>
      <c r="F179" s="6" t="str">
        <f>HYPERLINK("http://www.brookscountymuseum.com/")</f>
        <v>http://www.brookscountymuseum.com/</v>
      </c>
      <c r="G179" s="5" t="str">
        <f>HYPERLINK("https://www.facebook.com/Brooks-County-Museum-and-Cultural-Center-462951887062441")</f>
        <v>https://www.facebook.com/Brooks-County-Museum-and-Cultural-Center-462951887062441</v>
      </c>
    </row>
    <row r="180" spans="1:6" ht="15">
      <c r="A180" s="2" t="s">
        <v>342</v>
      </c>
      <c r="B180" s="1" t="s">
        <v>343</v>
      </c>
      <c r="C180" s="1" t="s">
        <v>344</v>
      </c>
      <c r="D180" s="1" t="s">
        <v>4376</v>
      </c>
      <c r="F180" s="6" t="str">
        <f>HYPERLINK("http://brooks.public.lib.ga.us/")</f>
        <v>http://brooks.public.lib.ga.us/</v>
      </c>
    </row>
    <row r="181" spans="1:3" ht="15">
      <c r="A181" s="2" t="s">
        <v>614</v>
      </c>
      <c r="C181" s="1" t="s">
        <v>615</v>
      </c>
    </row>
    <row r="182" spans="1:6" ht="30">
      <c r="A182" s="2" t="s">
        <v>1716</v>
      </c>
      <c r="B182" s="1" t="s">
        <v>1717</v>
      </c>
      <c r="C182" s="1" t="s">
        <v>1718</v>
      </c>
      <c r="D182" s="1" t="s">
        <v>4401</v>
      </c>
      <c r="F182" s="6" t="str">
        <f>HYPERLINK("https://wacohistorical.org/historical-sites/brown-house-museum-ca-1851/")</f>
        <v>https://wacohistorical.org/historical-sites/brown-house-museum-ca-1851/</v>
      </c>
    </row>
    <row r="183" spans="1:6" ht="15">
      <c r="A183" s="2" t="s">
        <v>3593</v>
      </c>
      <c r="B183" s="1" t="s">
        <v>3594</v>
      </c>
      <c r="C183" s="1" t="s">
        <v>3595</v>
      </c>
      <c r="D183" s="1" t="s">
        <v>5328</v>
      </c>
      <c r="E183" s="5" t="str">
        <f>HYPERLINK("mailto:rdeckman@mariettaga.gov","rdeckman@mariettaga.gov")</f>
        <v>rdeckman@mariettaga.gov</v>
      </c>
      <c r="F183" s="6" t="str">
        <f>HYPERLINK("https://www.mariettaga.gov/Facilities/Facility/Details/Brown-Park-10")</f>
        <v>https://www.mariettaga.gov/Facilities/Facility/Details/Brown-Park-10</v>
      </c>
    </row>
    <row r="184" spans="1:6" ht="15">
      <c r="A184" s="2" t="s">
        <v>988</v>
      </c>
      <c r="B184" s="1" t="s">
        <v>989</v>
      </c>
      <c r="C184" s="1" t="s">
        <v>990</v>
      </c>
      <c r="D184" s="1" t="s">
        <v>4568</v>
      </c>
      <c r="E184" s="5" t="str">
        <f>HYPERLINK("mailto:broxlib@srlsys.org","broxlib@srlsys.org")</f>
        <v>broxlib@srlsys.org</v>
      </c>
      <c r="F184" s="6" t="str">
        <f>HYPERLINK("http://srlsys.org/broxton-public-library/")</f>
        <v>http://srlsys.org/broxton-public-library/</v>
      </c>
    </row>
    <row r="185" spans="1:6" ht="30">
      <c r="A185" s="2" t="s">
        <v>3596</v>
      </c>
      <c r="B185" s="1" t="s">
        <v>3597</v>
      </c>
      <c r="C185" s="1" t="s">
        <v>3598</v>
      </c>
      <c r="D185" s="1" t="s">
        <v>5329</v>
      </c>
      <c r="F185" s="6" t="str">
        <f>HYPERLINK("https://www.exploregeorgia.org/marietta/history-heritage/civil-war/brumby-hall-gardens")</f>
        <v>https://www.exploregeorgia.org/marietta/history-heritage/civil-war/brumby-hall-gardens</v>
      </c>
    </row>
    <row r="186" spans="1:6" ht="15">
      <c r="A186" s="2" t="s">
        <v>302</v>
      </c>
      <c r="B186" s="1" t="s">
        <v>303</v>
      </c>
      <c r="C186" s="1" t="s">
        <v>304</v>
      </c>
      <c r="D186" s="1" t="s">
        <v>4364</v>
      </c>
      <c r="F186" s="6" t="str">
        <f>HYPERLINK("https://moglibraries.org/brunswick-glynn-county-library/")</f>
        <v>https://moglibraries.org/brunswick-glynn-county-library/</v>
      </c>
    </row>
    <row r="187" spans="1:6" ht="15">
      <c r="A187" s="2" t="s">
        <v>2489</v>
      </c>
      <c r="B187" s="1" t="s">
        <v>2490</v>
      </c>
      <c r="C187" s="1" t="s">
        <v>2491</v>
      </c>
      <c r="D187" s="1" t="s">
        <v>5015</v>
      </c>
      <c r="F187" s="6" t="str">
        <f>HYPERLINK("https://www.co.camden.ga.us/66/Bryan-Lang-Historical-Archives")</f>
        <v>https://www.co.camden.ga.us/66/Bryan-Lang-Historical-Archives</v>
      </c>
    </row>
    <row r="188" spans="1:6" ht="15">
      <c r="A188" s="2" t="s">
        <v>2253</v>
      </c>
      <c r="B188" s="1" t="s">
        <v>2254</v>
      </c>
      <c r="C188" s="1" t="s">
        <v>2255</v>
      </c>
      <c r="D188" s="1" t="s">
        <v>4524</v>
      </c>
      <c r="E188" s="5" t="str">
        <f>HYPERLINK("mailto:jgentry@wgrls.org","jgentry@wgrls.org")</f>
        <v>jgentry@wgrls.org</v>
      </c>
      <c r="F188" s="6" t="str">
        <f>HYPERLINK("http://www.wgrls.org/visit/buchanan/")</f>
        <v>http://www.wgrls.org/visit/buchanan/</v>
      </c>
    </row>
    <row r="189" spans="1:6" ht="15">
      <c r="A189" s="2" t="s">
        <v>856</v>
      </c>
      <c r="B189" s="1" t="s">
        <v>857</v>
      </c>
      <c r="C189" s="1" t="s">
        <v>858</v>
      </c>
      <c r="D189" s="1" t="s">
        <v>4524</v>
      </c>
      <c r="F189" s="6" t="str">
        <f>HYPERLINK("http://www.wgrls.org/visit/buchanan/")</f>
        <v>http://www.wgrls.org/visit/buchanan/</v>
      </c>
    </row>
    <row r="190" spans="1:6" ht="15">
      <c r="A190" s="2" t="s">
        <v>1141</v>
      </c>
      <c r="B190" s="1" t="s">
        <v>1142</v>
      </c>
      <c r="C190" s="1" t="s">
        <v>1143</v>
      </c>
      <c r="D190" s="1" t="s">
        <v>4617</v>
      </c>
      <c r="F190" s="6" t="str">
        <f>HYPERLINK("http://www.afpls.org/buckhead-branch")</f>
        <v>http://www.afpls.org/buckhead-branch</v>
      </c>
    </row>
    <row r="191" spans="1:3" ht="15">
      <c r="A191" s="2" t="s">
        <v>3599</v>
      </c>
      <c r="B191" s="1" t="s">
        <v>3600</v>
      </c>
      <c r="C191" s="1" t="s">
        <v>3601</v>
      </c>
    </row>
    <row r="192" spans="1:6" ht="15">
      <c r="A192" s="2" t="s">
        <v>3445</v>
      </c>
      <c r="B192" s="1" t="s">
        <v>3446</v>
      </c>
      <c r="C192" s="1" t="s">
        <v>3447</v>
      </c>
      <c r="D192" s="1" t="s">
        <v>5291</v>
      </c>
      <c r="E192" s="5" t="str">
        <f>HYPERLINK("mailto:info@buckheadheritage.com","info@buckheadheritage.com")</f>
        <v>info@buckheadheritage.com</v>
      </c>
      <c r="F192" s="6" t="str">
        <f>HYPERLINK("http://buckheadheritage.com/")</f>
        <v>http://buckheadheritage.com/</v>
      </c>
    </row>
    <row r="193" spans="1:6" ht="15">
      <c r="A193" s="2" t="s">
        <v>1228</v>
      </c>
      <c r="B193" s="1" t="s">
        <v>1229</v>
      </c>
      <c r="C193" s="1" t="s">
        <v>1230</v>
      </c>
      <c r="D193" s="1" t="s">
        <v>4645</v>
      </c>
      <c r="F193" s="6" t="str">
        <f>HYPERLINK("https://www.gwinnettpl.org/locations-and-hours/")</f>
        <v>https://www.gwinnettpl.org/locations-and-hours/</v>
      </c>
    </row>
    <row r="194" spans="1:6" ht="15">
      <c r="A194" s="2" t="s">
        <v>2147</v>
      </c>
      <c r="B194" s="1" t="s">
        <v>2148</v>
      </c>
      <c r="C194" s="1" t="s">
        <v>2149</v>
      </c>
      <c r="D194" s="1" t="s">
        <v>4913</v>
      </c>
      <c r="F194" s="6" t="str">
        <f>HYPERLINK("https://liveoakpl.org/friendly.php?s=locations/bullstreet")</f>
        <v>https://liveoakpl.org/friendly.php?s=locations/bullstreet</v>
      </c>
    </row>
    <row r="195" spans="1:6" ht="15">
      <c r="A195" s="2" t="s">
        <v>1749</v>
      </c>
      <c r="B195" s="1" t="s">
        <v>1750</v>
      </c>
      <c r="C195" s="1" t="s">
        <v>1751</v>
      </c>
      <c r="D195" s="1" t="s">
        <v>4795</v>
      </c>
      <c r="E195" s="5" t="str">
        <f>HYPERLINK("mailto:hello@bullochhistory.com","hello@bullochhistory.com")</f>
        <v>hello@bullochhistory.com</v>
      </c>
      <c r="F195" s="6" t="str">
        <f>HYPERLINK("https://www.bullochhistory.com/")</f>
        <v>https://www.bullochhistory.com/</v>
      </c>
    </row>
    <row r="196" spans="1:6" ht="15">
      <c r="A196" s="2" t="s">
        <v>444</v>
      </c>
      <c r="B196" s="1" t="s">
        <v>445</v>
      </c>
      <c r="C196" s="1" t="s">
        <v>446</v>
      </c>
      <c r="D196" s="1" t="s">
        <v>4406</v>
      </c>
      <c r="E196" s="5" t="str">
        <f>HYPERLINK("mailto:bullochhallroswell@gmail.com","bullochhallroswell@gmail.com")</f>
        <v>bullochhallroswell@gmail.com</v>
      </c>
      <c r="F196" s="6" t="str">
        <f>HYPERLINK("http://www.bullochhall.org")</f>
        <v>http://www.bullochhall.org</v>
      </c>
    </row>
    <row r="197" spans="1:6" ht="15">
      <c r="A197" s="2" t="s">
        <v>3052</v>
      </c>
      <c r="B197" s="1" t="s">
        <v>3053</v>
      </c>
      <c r="C197" s="1" t="s">
        <v>3054</v>
      </c>
      <c r="D197" s="1" t="s">
        <v>5181</v>
      </c>
      <c r="E197" s="5" t="str">
        <f>HYPERLINK("mailto:burke.archives@gmail.com","burke.archives@gmail.com")</f>
        <v>burke.archives@gmail.com</v>
      </c>
      <c r="F197" s="6" t="str">
        <f>HYPERLINK("https://burkecounty-ga.gov/community-links/archives")</f>
        <v>https://burkecounty-ga.gov/community-links/archives</v>
      </c>
    </row>
    <row r="198" spans="1:7" ht="15">
      <c r="A198" s="2" t="s">
        <v>3055</v>
      </c>
      <c r="B198" s="1" t="s">
        <v>3053</v>
      </c>
      <c r="C198" s="1" t="s">
        <v>3056</v>
      </c>
      <c r="D198" s="1" t="s">
        <v>5181</v>
      </c>
      <c r="E198" s="5" t="str">
        <f>HYPERLINK("mailto:burke.archives@gmail.com","burke.archives@gmail.com")</f>
        <v>burke.archives@gmail.com</v>
      </c>
      <c r="G198" s="5" t="str">
        <f>HYPERLINK("https://www.facebook.com/BurkeCountyGenealogicalAndHistoricalSociety")</f>
        <v>https://www.facebook.com/BurkeCountyGenealogicalAndHistoricalSociety</v>
      </c>
    </row>
    <row r="199" spans="1:6" ht="15">
      <c r="A199" s="2" t="s">
        <v>2100</v>
      </c>
      <c r="B199" s="1" t="s">
        <v>2101</v>
      </c>
      <c r="C199" s="1" t="s">
        <v>2102</v>
      </c>
      <c r="D199" s="1" t="s">
        <v>4906</v>
      </c>
      <c r="F199" s="6" t="str">
        <f>HYPERLINK("https://gchrl.org/branches/burke-county-library/")</f>
        <v>https://gchrl.org/branches/burke-county-library/</v>
      </c>
    </row>
    <row r="200" spans="1:6" ht="15">
      <c r="A200" s="2" t="s">
        <v>3608</v>
      </c>
      <c r="B200" s="1" t="s">
        <v>3609</v>
      </c>
      <c r="C200" s="1" t="s">
        <v>3610</v>
      </c>
      <c r="D200" s="1" t="s">
        <v>5330</v>
      </c>
      <c r="E200" s="5" t="str">
        <f>HYPERLINK("mailto:l.carter-chambers@burkecounty-ga.gov","l.carter-chambers@burkecounty-ga.gov")</f>
        <v>l.carter-chambers@burkecounty-ga.gov</v>
      </c>
      <c r="F200" s="6" t="str">
        <f>HYPERLINK("https://burkecounty-ga.gov/departments/museum/")</f>
        <v>https://burkecounty-ga.gov/departments/museum/</v>
      </c>
    </row>
    <row r="201" spans="1:6" ht="15">
      <c r="A201" s="2" t="s">
        <v>3934</v>
      </c>
      <c r="C201" s="1" t="s">
        <v>3935</v>
      </c>
      <c r="F201" s="6" t="str">
        <f>HYPERLINK("https://www.hrcga.org/church/burnt-fort-chapel/")</f>
        <v>https://www.hrcga.org/church/burnt-fort-chapel/</v>
      </c>
    </row>
    <row r="202" spans="1:6" ht="30">
      <c r="A202" s="2" t="s">
        <v>1321</v>
      </c>
      <c r="B202" s="1" t="s">
        <v>1322</v>
      </c>
      <c r="C202" s="1" t="s">
        <v>1323</v>
      </c>
      <c r="D202" s="1" t="s">
        <v>4672</v>
      </c>
      <c r="E202" s="5" t="str">
        <f>HYPERLINK("mailto:libraryb@pinemtnlibrary.org","libraryb@pinemtnlibrary.org")</f>
        <v>libraryb@pinemtnlibrary.org</v>
      </c>
      <c r="F202" s="6" t="str">
        <f>HYPERLINK("https://www.pinemtnlibrary.org/wordpress/index.php/hours-and-locations/taylor-county/butler-public-library/")</f>
        <v>https://www.pinemtnlibrary.org/wordpress/index.php/hours-and-locations/taylor-county/butler-public-library/</v>
      </c>
    </row>
    <row r="203" spans="1:7" ht="15">
      <c r="A203" s="2" t="s">
        <v>1752</v>
      </c>
      <c r="D203" s="1" t="s">
        <v>4796</v>
      </c>
      <c r="E203" s="5" t="str">
        <f>HYPERLINK("mailto:buttscountyhistoricalsociety@yahoo.com","buttscountyhistoricalsociety@yahoo.com")</f>
        <v>buttscountyhistoricalsociety@yahoo.com</v>
      </c>
      <c r="F203" s="6" t="str">
        <f>HYPERLINK("http://www.buttscountyhistoricalsociety.org/")</f>
        <v>http://www.buttscountyhistoricalsociety.org/</v>
      </c>
      <c r="G203" s="5" t="str">
        <f>HYPERLINK("https://www.facebook.com/Butts-County-Historical-Society-Inc-236510896389703")</f>
        <v>https://www.facebook.com/Butts-County-Historical-Society-Inc-236510896389703</v>
      </c>
    </row>
    <row r="204" spans="1:6" ht="15">
      <c r="A204" s="2" t="s">
        <v>1453</v>
      </c>
      <c r="B204" s="1" t="s">
        <v>1454</v>
      </c>
      <c r="C204" s="1" t="s">
        <v>1455</v>
      </c>
      <c r="D204" s="1" t="s">
        <v>4715</v>
      </c>
      <c r="F204" s="6" t="str">
        <f>HYPERLINK("https://www.lbrls.org/byromville")</f>
        <v>https://www.lbrls.org/byromville</v>
      </c>
    </row>
    <row r="205" spans="1:6" ht="15">
      <c r="A205" s="2" t="s">
        <v>2492</v>
      </c>
      <c r="B205" s="1" t="s">
        <v>2493</v>
      </c>
      <c r="C205" s="1" t="s">
        <v>2494</v>
      </c>
      <c r="F205" s="6" t="str">
        <f>HYPERLINK("https://www.tourbyron.com/things-to-do-historic-sites")</f>
        <v>https://www.tourbyron.com/things-to-do-historic-sites</v>
      </c>
    </row>
    <row r="206" spans="1:6" ht="15">
      <c r="A206" s="2" t="s">
        <v>3611</v>
      </c>
      <c r="B206" s="1" t="s">
        <v>3449</v>
      </c>
      <c r="C206" s="1" t="s">
        <v>3612</v>
      </c>
      <c r="D206" s="1" t="s">
        <v>5292</v>
      </c>
      <c r="E206" s="5" t="str">
        <f>HYPERLINK("mailto:reecesociety@gmail.com","reecesociety@gmail.com")</f>
        <v>reecesociety@gmail.com</v>
      </c>
      <c r="F206" s="6" t="str">
        <f>HYPERLINK("https://byronherbertreecesociety.wordpress.com/")</f>
        <v>https://byronherbertreecesociety.wordpress.com/</v>
      </c>
    </row>
    <row r="207" spans="1:8" ht="15">
      <c r="A207" s="2" t="s">
        <v>3448</v>
      </c>
      <c r="B207" s="1" t="s">
        <v>3449</v>
      </c>
      <c r="C207" s="1" t="s">
        <v>3450</v>
      </c>
      <c r="D207" s="1" t="s">
        <v>5292</v>
      </c>
      <c r="E207" s="5" t="str">
        <f>HYPERLINK("mailto:reecesociety@gmail.com","reecesociety@gmail.com")</f>
        <v>reecesociety@gmail.com</v>
      </c>
      <c r="F207" s="6" t="str">
        <f>HYPERLINK("https://byronherbertreecesociety.org/")</f>
        <v>https://byronherbertreecesociety.org/</v>
      </c>
      <c r="H207" s="5" t="str">
        <f>HYPERLINK("https://twitter.com/hubreece")</f>
        <v>https://twitter.com/hubreece</v>
      </c>
    </row>
    <row r="208" spans="1:6" ht="15">
      <c r="A208" s="2" t="s">
        <v>1396</v>
      </c>
      <c r="B208" s="1" t="s">
        <v>1397</v>
      </c>
      <c r="C208" s="1" t="s">
        <v>1398</v>
      </c>
      <c r="D208" s="1" t="s">
        <v>4696</v>
      </c>
      <c r="F208" s="6" t="str">
        <f>HYPERLINK("http://www.peach.public.lib.ga.us/bpl.html")</f>
        <v>http://www.peach.public.lib.ga.us/bpl.html</v>
      </c>
    </row>
    <row r="209" spans="1:6" ht="15">
      <c r="A209" s="2" t="s">
        <v>3220</v>
      </c>
      <c r="B209" s="1" t="s">
        <v>2546</v>
      </c>
      <c r="C209" s="1" t="s">
        <v>3221</v>
      </c>
      <c r="D209" s="1" t="s">
        <v>5224</v>
      </c>
      <c r="E209" s="5" t="str">
        <f>HYPERLINK("mailto:archives@ctsnet.edu","archives@ctsnet.edu")</f>
        <v>archives@ctsnet.edu</v>
      </c>
      <c r="F209" s="6" t="str">
        <f>HYPERLINK("https://www.ctsnet.edu/library/collections-and-archives/")</f>
        <v>https://www.ctsnet.edu/library/collections-and-archives/</v>
      </c>
    </row>
    <row r="210" spans="1:6" ht="15">
      <c r="A210" s="2" t="s">
        <v>3613</v>
      </c>
      <c r="D210" s="1" t="s">
        <v>5331</v>
      </c>
      <c r="E210" s="5" t="str">
        <f>HYPERLINK("mailto:info@ctovma.org","info@ctovma.org")</f>
        <v>info@ctovma.org</v>
      </c>
      <c r="F210" s="6" t="str">
        <f>HYPERLINK("http://ctovma.org/press.php")</f>
        <v>http://ctovma.org/press.php</v>
      </c>
    </row>
    <row r="211" spans="1:6" ht="15">
      <c r="A211" s="2" t="s">
        <v>3835</v>
      </c>
      <c r="B211" s="1" t="s">
        <v>3836</v>
      </c>
      <c r="C211" s="1" t="s">
        <v>3837</v>
      </c>
      <c r="D211" s="1" t="s">
        <v>5385</v>
      </c>
      <c r="E211" s="5" t="str">
        <f>HYPERLINK("mailto:actionteam@c4atlanta.org","actionteam@c4atlanta.org")</f>
        <v>actionteam@c4atlanta.org</v>
      </c>
      <c r="F211" s="6" t="str">
        <f>HYPERLINK("https://c4atlanta.org/")</f>
        <v>https://c4atlanta.org/</v>
      </c>
    </row>
    <row r="212" spans="1:6" ht="15">
      <c r="A212" s="2" t="s">
        <v>2132</v>
      </c>
      <c r="B212" s="1" t="s">
        <v>2133</v>
      </c>
      <c r="C212" s="1" t="s">
        <v>2134</v>
      </c>
      <c r="D212" s="1" t="s">
        <v>4908</v>
      </c>
      <c r="F212" s="6" t="str">
        <f>HYPERLINK("https://krlibrary.org/?page_id=18")</f>
        <v>https://krlibrary.org/?page_id=18</v>
      </c>
    </row>
    <row r="213" spans="1:6" ht="15">
      <c r="A213" s="2" t="s">
        <v>1753</v>
      </c>
      <c r="B213" s="1" t="s">
        <v>1754</v>
      </c>
      <c r="C213" s="1" t="s">
        <v>1755</v>
      </c>
      <c r="D213" s="1" t="s">
        <v>4778</v>
      </c>
      <c r="E213" s="5" t="str">
        <f>HYPERLINK("mailto:info@harrisartscenter.com","info@harrisartscenter.com")</f>
        <v>info@harrisartscenter.com</v>
      </c>
      <c r="F213" s="6" t="str">
        <f>HYPERLINK("https://harrisartscenter.com/calhoun-gordon-arts-council/")</f>
        <v>https://harrisartscenter.com/calhoun-gordon-arts-council/</v>
      </c>
    </row>
    <row r="214" spans="1:6" ht="15">
      <c r="A214" s="2" t="s">
        <v>1522</v>
      </c>
      <c r="B214" s="1" t="s">
        <v>1523</v>
      </c>
      <c r="C214" s="1" t="s">
        <v>1524</v>
      </c>
      <c r="D214" s="1" t="s">
        <v>4738</v>
      </c>
      <c r="E214" s="5" t="str">
        <f>HYPERLINK("mailto:edwardsn@ngrl.org","edwardsn@ngrl.org")</f>
        <v>edwardsn@ngrl.org</v>
      </c>
      <c r="F214" s="6" t="str">
        <f>HYPERLINK("https://ngrl.org/locations/calhoun-gordon/")</f>
        <v>https://ngrl.org/locations/calhoun-gordon/</v>
      </c>
    </row>
    <row r="215" spans="1:6" ht="15">
      <c r="A215" s="2" t="s">
        <v>4077</v>
      </c>
      <c r="B215" s="1" t="s">
        <v>4078</v>
      </c>
      <c r="C215" s="1" t="s">
        <v>4079</v>
      </c>
      <c r="D215" s="1" t="s">
        <v>5451</v>
      </c>
      <c r="E215" s="5" t="str">
        <f>HYPERLINK("mailto:info@callanwolde.org","info@callanwolde.org")</f>
        <v>info@callanwolde.org</v>
      </c>
      <c r="F215" s="6" t="str">
        <f>HYPERLINK("https://callanwolde.org/about-callanwolde/")</f>
        <v>https://callanwolde.org/about-callanwolde/</v>
      </c>
    </row>
    <row r="216" spans="1:3" ht="15">
      <c r="A216" s="2" t="s">
        <v>450</v>
      </c>
      <c r="C216" s="1" t="s">
        <v>451</v>
      </c>
    </row>
    <row r="217" spans="1:6" ht="15">
      <c r="A217" s="2" t="s">
        <v>452</v>
      </c>
      <c r="B217" s="1" t="s">
        <v>453</v>
      </c>
      <c r="C217" s="1" t="s">
        <v>454</v>
      </c>
      <c r="D217" s="1" t="s">
        <v>4408</v>
      </c>
      <c r="E217" s="5" t="str">
        <f>HYPERLINK("mailto:historicalww@gmail.com","historicalww@gmail.com")</f>
        <v>historicalww@gmail.com</v>
      </c>
      <c r="F217" s="6" t="str">
        <f>HYPERLINK("http://www.historyofwilkes.org/sites-callaway.html")</f>
        <v>http://www.historyofwilkes.org/sites-callaway.html</v>
      </c>
    </row>
    <row r="218" spans="1:6" ht="15">
      <c r="A218" s="2" t="s">
        <v>556</v>
      </c>
      <c r="B218" s="1" t="s">
        <v>557</v>
      </c>
      <c r="C218" s="1" t="s">
        <v>558</v>
      </c>
      <c r="D218" s="1" t="s">
        <v>4434</v>
      </c>
      <c r="E218" s="5" t="str">
        <f>HYPERLINK("mailto:jkissinger@ccga.edu","jkissinger@ccga.edu")</f>
        <v>jkissinger@ccga.edu</v>
      </c>
      <c r="F218" s="6" t="str">
        <f>HYPERLINK("https://www.ccga.edu/page.cfm?p=688")</f>
        <v>https://www.ccga.edu/page.cfm?p=688</v>
      </c>
    </row>
    <row r="219" spans="1:6" ht="30">
      <c r="A219" s="2" t="s">
        <v>1210</v>
      </c>
      <c r="B219" s="1" t="s">
        <v>1211</v>
      </c>
      <c r="C219" s="1" t="s">
        <v>1212</v>
      </c>
      <c r="D219" s="1" t="s">
        <v>4640</v>
      </c>
      <c r="E219" s="5" t="str">
        <f>HYPERLINK("mailto:mclark@trrl.org","mclark@trrl.org")</f>
        <v>mclark@trrl.org</v>
      </c>
      <c r="F219" s="6" t="str">
        <f>HYPERLINK("https://threeriverslibraries.org/wordpress-dev/library-locations/camden-county-public-library/")</f>
        <v>https://threeriverslibraries.org/wordpress-dev/library-locations/camden-county-public-library/</v>
      </c>
    </row>
    <row r="220" spans="1:6" ht="15">
      <c r="A220" s="2" t="s">
        <v>2691</v>
      </c>
      <c r="B220" s="1" t="s">
        <v>2692</v>
      </c>
      <c r="C220" s="1" t="s">
        <v>2693</v>
      </c>
      <c r="D220" s="1" t="s">
        <v>5074</v>
      </c>
      <c r="E220" s="5" t="str">
        <f>HYPERLINK("mailto:info@candlerhistoricalsociety.org","info@candlerhistoricalsociety.org")</f>
        <v>info@candlerhistoricalsociety.org</v>
      </c>
      <c r="F220" s="6" t="str">
        <f>HYPERLINK("https://candlerhistoricalsociety.org/")</f>
        <v>https://candlerhistoricalsociety.org/</v>
      </c>
    </row>
    <row r="221" spans="1:6" ht="15">
      <c r="A221" s="2" t="s">
        <v>147</v>
      </c>
      <c r="B221" s="1" t="s">
        <v>148</v>
      </c>
      <c r="C221" s="1" t="s">
        <v>149</v>
      </c>
      <c r="D221" s="1" t="s">
        <v>4328</v>
      </c>
      <c r="F221" s="6" t="str">
        <f>HYPERLINK("http://www.cannonballhouse.org")</f>
        <v>http://www.cannonballhouse.org</v>
      </c>
    </row>
    <row r="222" spans="1:6" ht="15">
      <c r="A222" s="2" t="s">
        <v>455</v>
      </c>
      <c r="C222" s="1" t="s">
        <v>456</v>
      </c>
      <c r="D222" s="1" t="s">
        <v>4409</v>
      </c>
      <c r="E222" s="5" t="str">
        <f>HYPERLINK("mailto:info@dublinmainstreet.com","info@dublinmainstreet.com")</f>
        <v>info@dublinmainstreet.com</v>
      </c>
      <c r="F222" s="6" t="str">
        <f>HYPERLINK("http://www.dublincarnegie.com/")</f>
        <v>http://www.dublincarnegie.com/</v>
      </c>
    </row>
    <row r="223" spans="1:3" ht="15">
      <c r="A223" s="2" t="s">
        <v>460</v>
      </c>
      <c r="C223" s="1" t="s">
        <v>461</v>
      </c>
    </row>
    <row r="224" spans="1:3" ht="15">
      <c r="A224" s="2" t="s">
        <v>287</v>
      </c>
      <c r="B224" s="1" t="s">
        <v>288</v>
      </c>
      <c r="C224" s="1" t="s">
        <v>289</v>
      </c>
    </row>
    <row r="225" spans="1:6" ht="15">
      <c r="A225" s="2" t="s">
        <v>1486</v>
      </c>
      <c r="B225" s="1" t="s">
        <v>1487</v>
      </c>
      <c r="C225" s="1" t="s">
        <v>1488</v>
      </c>
      <c r="D225" s="1" t="s">
        <v>4726</v>
      </c>
      <c r="F225" s="6" t="str">
        <f>HYPERLINK("https://www.cprl.org/berrien/")</f>
        <v>https://www.cprl.org/berrien/</v>
      </c>
    </row>
    <row r="226" spans="1:6" ht="15">
      <c r="A226" s="2" t="s">
        <v>2477</v>
      </c>
      <c r="B226" s="1" t="s">
        <v>845</v>
      </c>
      <c r="C226" s="1" t="s">
        <v>2478</v>
      </c>
      <c r="E226" s="5" t="str">
        <f>HYPERLINK("mailto:ccgsga76@gmail.com","ccgsga76@gmail.com")</f>
        <v>ccgsga76@gmail.com</v>
      </c>
      <c r="F226" s="6" t="str">
        <f>HYPERLINK("http://www.ccgsga.org/")</f>
        <v>http://www.ccgsga.org/</v>
      </c>
    </row>
    <row r="227" spans="1:6" ht="15">
      <c r="A227" s="2" t="s">
        <v>2479</v>
      </c>
      <c r="B227" s="1" t="s">
        <v>2480</v>
      </c>
      <c r="C227" s="1" t="s">
        <v>2481</v>
      </c>
      <c r="D227" s="1" t="s">
        <v>5012</v>
      </c>
      <c r="F227" s="6" t="str">
        <f>HYPERLINK("http://www.carrollcountyhistory.org/")</f>
        <v>http://www.carrollcountyhistory.org/</v>
      </c>
    </row>
    <row r="228" spans="1:6" ht="15">
      <c r="A228" s="2" t="s">
        <v>2482</v>
      </c>
      <c r="B228" s="1" t="s">
        <v>2483</v>
      </c>
      <c r="C228" s="1" t="s">
        <v>2484</v>
      </c>
      <c r="D228" s="1" t="s">
        <v>5013</v>
      </c>
      <c r="E228" s="5" t="str">
        <f>HYPERLINK("mailto:mccullerscenter@columbusstate.edu","mccullerscenter@columbusstate.edu")</f>
        <v>mccullerscenter@columbusstate.edu</v>
      </c>
      <c r="F228" s="6" t="str">
        <f>HYPERLINK("http://mccullerscenter.org")</f>
        <v>http://mccullerscenter.org</v>
      </c>
    </row>
    <row r="229" spans="1:6" ht="15">
      <c r="A229" s="2" t="s">
        <v>2310</v>
      </c>
      <c r="B229" s="1" t="s">
        <v>2311</v>
      </c>
      <c r="C229" s="1" t="s">
        <v>2312</v>
      </c>
      <c r="D229" s="1" t="s">
        <v>4960</v>
      </c>
      <c r="E229" s="5" t="str">
        <f>HYPERLINK("mailto:lmhartle@windstream.net","lmhartle@windstream.net")</f>
        <v>lmhartle@windstream.net</v>
      </c>
      <c r="F229" s="6" t="str">
        <f>HYPERLINK("https://www.cityofwinterville.com/carter-coile-doctors-museum")</f>
        <v>https://www.cityofwinterville.com/carter-coile-doctors-museum</v>
      </c>
    </row>
    <row r="230" spans="1:6" ht="15">
      <c r="A230" s="2" t="s">
        <v>2054</v>
      </c>
      <c r="B230" s="1" t="s">
        <v>785</v>
      </c>
      <c r="C230" s="1" t="s">
        <v>2055</v>
      </c>
      <c r="D230" s="1" t="s">
        <v>4892</v>
      </c>
      <c r="E230" s="5" t="str">
        <f>HYPERLINK("mailto:info@bartowlibrary.org","info@bartowlibrary.org")</f>
        <v>info@bartowlibrary.org</v>
      </c>
      <c r="F230" s="6" t="str">
        <f>HYPERLINK("http://www.bartowlibraryonline.org/about-locations.php")</f>
        <v>http://www.bartowlibraryonline.org/about-locations.php</v>
      </c>
    </row>
    <row r="231" spans="1:4" ht="15">
      <c r="A231" s="2" t="s">
        <v>784</v>
      </c>
      <c r="B231" s="1" t="s">
        <v>785</v>
      </c>
      <c r="C231" s="1" t="s">
        <v>786</v>
      </c>
      <c r="D231" s="1" t="s">
        <v>4500</v>
      </c>
    </row>
    <row r="232" spans="1:6" ht="15">
      <c r="A232" s="2" t="s">
        <v>3614</v>
      </c>
      <c r="D232" s="1" t="s">
        <v>5332</v>
      </c>
      <c r="E232" s="5" t="str">
        <f>HYPERLINK("mailto:whybarka@att.net","whybarka@att.net")</f>
        <v>whybarka@att.net</v>
      </c>
      <c r="F232" s="6" t="str">
        <f>HYPERLINK("http://www.cassvillehistoricalsociety.com/")</f>
        <v>http://www.cassvillehistoricalsociety.com/</v>
      </c>
    </row>
    <row r="233" spans="1:6" ht="30">
      <c r="A233" s="2" t="s">
        <v>2485</v>
      </c>
      <c r="B233" s="1" t="s">
        <v>2486</v>
      </c>
      <c r="C233" s="1" t="s">
        <v>2487</v>
      </c>
      <c r="D233" s="1" t="s">
        <v>5014</v>
      </c>
      <c r="E233" s="5" t="str">
        <f>HYPERLINK("mailto:archives@archatl.com","archives@archatl.com")</f>
        <v>archives@archatl.com</v>
      </c>
      <c r="F233" s="6" t="str">
        <f>HYPERLINK("https://archatl.com/offices/archives/")</f>
        <v>https://archatl.com/offices/archives/</v>
      </c>
    </row>
    <row r="234" spans="1:7" ht="15">
      <c r="A234" s="2" t="s">
        <v>3615</v>
      </c>
      <c r="B234" s="1" t="s">
        <v>3616</v>
      </c>
      <c r="C234" s="1" t="s">
        <v>3617</v>
      </c>
      <c r="D234" s="1" t="s">
        <v>5333</v>
      </c>
      <c r="E234" s="5" t="str">
        <f>HYPERLINK("mailto:ymburningbush@aol.com","ymburningbush@aol.com")</f>
        <v>ymburningbush@aol.com</v>
      </c>
      <c r="G234" s="5" t="str">
        <f>HYPERLINK("https://www.facebook.com/Catoosa-Citizens-Veterans-Memorial-Inc-33496814995167")</f>
        <v>https://www.facebook.com/Catoosa-Citizens-Veterans-Memorial-Inc-33496814995167</v>
      </c>
    </row>
    <row r="235" spans="1:7" ht="15">
      <c r="A235" s="2" t="s">
        <v>2694</v>
      </c>
      <c r="B235" s="1" t="s">
        <v>2695</v>
      </c>
      <c r="C235" s="1" t="s">
        <v>2696</v>
      </c>
      <c r="D235" s="1" t="s">
        <v>5075</v>
      </c>
      <c r="G235" s="5" t="str">
        <f>HYPERLINK("https://www.facebook.com/catoosahistory")</f>
        <v>https://www.facebook.com/catoosahistory</v>
      </c>
    </row>
    <row r="236" spans="1:6" ht="15">
      <c r="A236" s="2" t="s">
        <v>336</v>
      </c>
      <c r="B236" s="1" t="s">
        <v>337</v>
      </c>
      <c r="C236" s="1" t="s">
        <v>338</v>
      </c>
      <c r="D236" s="1" t="s">
        <v>4374</v>
      </c>
      <c r="E236" s="5" t="str">
        <f>HYPERLINK("mailto:Info@catoosacountylibrary.org","Info@catoosacountylibrary.org")</f>
        <v>Info@catoosacountylibrary.org</v>
      </c>
      <c r="F236" s="6" t="str">
        <f>HYPERLINK("https://www.catoosacountylibrary.org/")</f>
        <v>https://www.catoosacountylibrary.org/</v>
      </c>
    </row>
    <row r="237" spans="1:6" ht="15">
      <c r="A237" s="2" t="s">
        <v>2459</v>
      </c>
      <c r="D237" s="1" t="s">
        <v>5005</v>
      </c>
      <c r="E237" s="5" t="str">
        <f>HYPERLINK("mailto:cavepringhistoricalsociety@gmail.com","cavepringhistoricalsociety@gmail.com")</f>
        <v>cavepringhistoricalsociety@gmail.com</v>
      </c>
      <c r="F237" s="6" t="str">
        <f>HYPERLINK("http://www.cavespringhistoricalsociety.com/")</f>
        <v>http://www.cavespringhistoricalsociety.com/</v>
      </c>
    </row>
    <row r="238" spans="1:6" ht="15">
      <c r="A238" s="2" t="s">
        <v>1117</v>
      </c>
      <c r="B238" s="1" t="s">
        <v>1118</v>
      </c>
      <c r="C238" s="1" t="s">
        <v>1119</v>
      </c>
      <c r="D238" s="1" t="s">
        <v>4609</v>
      </c>
      <c r="F238" s="6" t="str">
        <f>HYPERLINK("http://shrls.org/cave-spring/")</f>
        <v>http://shrls.org/cave-spring/</v>
      </c>
    </row>
    <row r="239" spans="1:6" ht="15">
      <c r="A239" s="2" t="s">
        <v>1120</v>
      </c>
      <c r="B239" s="1" t="s">
        <v>1121</v>
      </c>
      <c r="C239" s="1" t="s">
        <v>1122</v>
      </c>
      <c r="D239" s="1" t="s">
        <v>4610</v>
      </c>
      <c r="F239" s="6" t="str">
        <f>HYPERLINK("https://shrls.org/cedartown/")</f>
        <v>https://shrls.org/cedartown/</v>
      </c>
    </row>
    <row r="240" spans="1:7" ht="15">
      <c r="A240" s="2" t="s">
        <v>83</v>
      </c>
      <c r="B240" s="1" t="s">
        <v>84</v>
      </c>
      <c r="C240" s="1" t="s">
        <v>82</v>
      </c>
      <c r="D240" s="1" t="s">
        <v>4314</v>
      </c>
      <c r="E240" s="5" t="str">
        <f>HYPERLINK("mailto:info@cedartowncokemuseum.com","info@cedartowncokemuseum.com")</f>
        <v>info@cedartowncokemuseum.com</v>
      </c>
      <c r="F240" s="6" t="str">
        <f>HYPERLINK("https://www.cedartowncokemuseum.org/")</f>
        <v>https://www.cedartowncokemuseum.org/</v>
      </c>
      <c r="G240" s="5" t="str">
        <f>HYPERLINK("https://www.facebook.com/cedartowncokemuseum")</f>
        <v>https://www.facebook.com/cedartowncokemuseum</v>
      </c>
    </row>
    <row r="241" spans="1:3" ht="15">
      <c r="A241" s="2" t="s">
        <v>3618</v>
      </c>
      <c r="B241" s="1" t="s">
        <v>3619</v>
      </c>
      <c r="C241" s="1" t="s">
        <v>3620</v>
      </c>
    </row>
    <row r="242" spans="1:6" ht="30">
      <c r="A242" s="2" t="s">
        <v>2460</v>
      </c>
      <c r="B242" s="1" t="s">
        <v>2461</v>
      </c>
      <c r="C242" s="1" t="s">
        <v>2462</v>
      </c>
      <c r="D242" s="1" t="s">
        <v>5006</v>
      </c>
      <c r="E242" s="5" t="str">
        <f>HYPERLINK("mailto:cph@westga.edu","cph@westga.edu")</f>
        <v>cph@westga.edu</v>
      </c>
      <c r="F242" s="6" t="str">
        <f>HYPERLINK("https://uwgcph.org/")</f>
        <v>https://uwgcph.org/</v>
      </c>
    </row>
    <row r="243" spans="1:8" ht="15">
      <c r="A243" s="2" t="s">
        <v>465</v>
      </c>
      <c r="B243" s="1" t="s">
        <v>466</v>
      </c>
      <c r="C243" s="1" t="s">
        <v>467</v>
      </c>
      <c r="D243" s="1" t="s">
        <v>4412</v>
      </c>
      <c r="E243" s="5" t="str">
        <f>HYPERLINK("mailto:info@puppet.org","info@puppet.org")</f>
        <v>info@puppet.org</v>
      </c>
      <c r="F243" s="6" t="str">
        <f>HYPERLINK("http://www.puppet.org/")</f>
        <v>http://www.puppet.org/</v>
      </c>
      <c r="G243" s="5" t="str">
        <f>HYPERLINK("https://www.facebook.com/CenterforPuppetryArts")</f>
        <v>https://www.facebook.com/CenterforPuppetryArts</v>
      </c>
      <c r="H243" s="5" t="str">
        <f>HYPERLINK("https://twitter.com/ctrpuppetryarts")</f>
        <v>https://twitter.com/ctrpuppetryarts</v>
      </c>
    </row>
    <row r="244" spans="1:6" ht="30">
      <c r="A244" s="2" t="s">
        <v>3621</v>
      </c>
      <c r="D244" s="1" t="s">
        <v>5334</v>
      </c>
      <c r="E244" s="5" t="str">
        <f>HYPERLINK("mailto:cfsaadmc.center@gmail.com","cfsaadmc.center@gmail.com")</f>
        <v>cfsaadmc.center@gmail.com</v>
      </c>
      <c r="F244" s="6" t="str">
        <f>HYPERLINK("https://cfsaadmc.wordpress.com/")</f>
        <v>https://cfsaadmc.wordpress.com/</v>
      </c>
    </row>
    <row r="245" spans="1:4" ht="15">
      <c r="A245" s="2" t="s">
        <v>130</v>
      </c>
      <c r="B245" s="1" t="s">
        <v>131</v>
      </c>
      <c r="C245" s="1" t="s">
        <v>132</v>
      </c>
      <c r="D245" s="1" t="s">
        <v>4324</v>
      </c>
    </row>
    <row r="246" spans="1:6" ht="15">
      <c r="A246" s="2" t="s">
        <v>1234</v>
      </c>
      <c r="B246" s="1" t="s">
        <v>1235</v>
      </c>
      <c r="C246" s="1" t="s">
        <v>1236</v>
      </c>
      <c r="D246" s="1" t="s">
        <v>4645</v>
      </c>
      <c r="F246" s="6" t="str">
        <f>HYPERLINK("https://www.gwinnettpl.org/locations-and-hours/")</f>
        <v>https://www.gwinnettpl.org/locations-and-hours/</v>
      </c>
    </row>
    <row r="247" spans="1:6" ht="15">
      <c r="A247" s="2" t="s">
        <v>2463</v>
      </c>
      <c r="E247" s="5" t="str">
        <f>HYPERLINK("mailto:info@cggs.org","info@cggs.org")</f>
        <v>info@cggs.org</v>
      </c>
      <c r="F247" s="6" t="str">
        <f>HYPERLINK("http://www.cggs.org/")</f>
        <v>http://www.cggs.org/</v>
      </c>
    </row>
    <row r="248" spans="1:6" ht="15">
      <c r="A248" s="2" t="s">
        <v>3280</v>
      </c>
      <c r="B248" s="1" t="s">
        <v>3281</v>
      </c>
      <c r="C248" s="1" t="s">
        <v>3282</v>
      </c>
      <c r="D248" s="1" t="s">
        <v>5244</v>
      </c>
      <c r="E248" s="5" t="str">
        <f>HYPERLINK("mailto:library@centralgatech.edu","library@centralgatech.edu")</f>
        <v>library@centralgatech.edu</v>
      </c>
      <c r="F248" s="6" t="str">
        <f>HYPERLINK("https://www.centralgatech.edu/library")</f>
        <v>https://www.centralgatech.edu/library</v>
      </c>
    </row>
    <row r="249" spans="1:6" ht="30">
      <c r="A249" s="2" t="s">
        <v>1618</v>
      </c>
      <c r="B249" s="1" t="s">
        <v>1619</v>
      </c>
      <c r="C249" s="1" t="s">
        <v>1620</v>
      </c>
      <c r="D249" s="1" t="s">
        <v>4759</v>
      </c>
      <c r="F249" s="6" t="str">
        <f>HYPERLINK("http://cowt.ent.sirsi.net/client/en_US/default/?rm=CENTRAL+LIBRARY0%7C%7C%7C1%7C%7C%7C0%7C%7C%7Ctrue&amp;dt=list")</f>
        <v>http://cowt.ent.sirsi.net/client/en_US/default/?rm=CENTRAL+LIBRARY0%7C%7C%7C1%7C%7C%7C0%7C%7C%7Ctrue&amp;dt=list</v>
      </c>
    </row>
    <row r="250" spans="1:6" ht="15">
      <c r="A250" s="2" t="s">
        <v>1618</v>
      </c>
      <c r="B250" s="1" t="s">
        <v>2087</v>
      </c>
      <c r="C250" s="1" t="s">
        <v>2088</v>
      </c>
      <c r="D250" s="1" t="s">
        <v>4902</v>
      </c>
      <c r="F250" s="6" t="str">
        <f>HYPERLINK("http://www.docolib.org/index.php/about-us/location-hours/")</f>
        <v>http://www.docolib.org/index.php/about-us/location-hours/</v>
      </c>
    </row>
    <row r="251" spans="1:7" ht="15">
      <c r="A251" s="2" t="s">
        <v>2441</v>
      </c>
      <c r="B251" s="1" t="s">
        <v>2032</v>
      </c>
      <c r="C251" s="1" t="s">
        <v>2442</v>
      </c>
      <c r="D251" s="1" t="s">
        <v>4997</v>
      </c>
      <c r="E251" s="5" t="str">
        <f>HYPERLINK("mailto:Special.Collections@fultoncountyga.org","Special.Collections@fultoncountyga.org")</f>
        <v>Special.Collections@fultoncountyga.org</v>
      </c>
      <c r="F251" s="6" t="str">
        <f>HYPERLINK("http://afpls.org/central-hq")</f>
        <v>http://afpls.org/central-hq</v>
      </c>
      <c r="G251" s="5" t="str">
        <f>HYPERLINK("https://www.facebook.com/fulcolibrary")</f>
        <v>https://www.facebook.com/fulcolibrary</v>
      </c>
    </row>
    <row r="252" spans="1:6" ht="15">
      <c r="A252" s="2" t="s">
        <v>1959</v>
      </c>
      <c r="C252" s="1" t="s">
        <v>1960</v>
      </c>
      <c r="F252" s="6" t="str">
        <f>HYPERLINK("http://www.chsgeorgia.org/history-museum.html")</f>
        <v>http://www.chsgeorgia.org/history-museum.html</v>
      </c>
    </row>
    <row r="253" spans="1:6" ht="15">
      <c r="A253" s="2" t="s">
        <v>2256</v>
      </c>
      <c r="B253" s="1" t="s">
        <v>2257</v>
      </c>
      <c r="C253" s="1" t="s">
        <v>2258</v>
      </c>
      <c r="D253" s="1" t="s">
        <v>4948</v>
      </c>
      <c r="E253" s="5" t="str">
        <f>HYPERLINK("mailto:cphillips@wgrls.org","cphillips@wgrls.org")</f>
        <v>cphillips@wgrls.org</v>
      </c>
      <c r="F253" s="6" t="str">
        <f>HYPERLINK("http://www.wgrls.org/visit/centralhatchee/")</f>
        <v>http://www.wgrls.org/visit/centralhatchee/</v>
      </c>
    </row>
    <row r="254" spans="1:6" ht="15">
      <c r="A254" s="2" t="s">
        <v>1033</v>
      </c>
      <c r="B254" s="1" t="s">
        <v>1034</v>
      </c>
      <c r="C254" s="1" t="s">
        <v>1035</v>
      </c>
      <c r="D254" s="1" t="s">
        <v>4582</v>
      </c>
      <c r="F254" s="6" t="str">
        <f>HYPERLINK("https://dekalblibrary.org/branches/cham")</f>
        <v>https://dekalblibrary.org/branches/cham</v>
      </c>
    </row>
    <row r="255" spans="1:6" ht="15">
      <c r="A255" s="2" t="s">
        <v>793</v>
      </c>
      <c r="B255" s="1" t="s">
        <v>794</v>
      </c>
      <c r="C255" s="1" t="s">
        <v>795</v>
      </c>
      <c r="D255" s="1" t="s">
        <v>4503</v>
      </c>
      <c r="F255" s="6" t="str">
        <f>HYPERLINK("http://bibblib.org/locations/charles-a-lanford-m-d-library/")</f>
        <v>http://bibblib.org/locations/charles-a-lanford-m-d-library/</v>
      </c>
    </row>
    <row r="256" spans="1:6" ht="15">
      <c r="A256" s="2" t="s">
        <v>1722</v>
      </c>
      <c r="B256" s="1" t="s">
        <v>1723</v>
      </c>
      <c r="C256" s="1" t="s">
        <v>1724</v>
      </c>
      <c r="D256" s="1" t="s">
        <v>4787</v>
      </c>
      <c r="F256" s="6" t="str">
        <f>HYPERLINK("https://wacohistorical.org/historical-sites/charles-e-choate/")</f>
        <v>https://wacohistorical.org/historical-sites/charles-e-choate/</v>
      </c>
    </row>
    <row r="257" spans="1:3" ht="15">
      <c r="A257" s="2" t="s">
        <v>370</v>
      </c>
      <c r="B257" s="1" t="s">
        <v>371</v>
      </c>
      <c r="C257" s="1" t="s">
        <v>372</v>
      </c>
    </row>
    <row r="258" spans="1:3" ht="15">
      <c r="A258" s="2" t="s">
        <v>468</v>
      </c>
      <c r="C258" s="1" t="s">
        <v>469</v>
      </c>
    </row>
    <row r="259" spans="1:4" ht="15">
      <c r="A259" s="2" t="s">
        <v>2526</v>
      </c>
      <c r="B259" s="1" t="s">
        <v>2527</v>
      </c>
      <c r="C259" s="1" t="s">
        <v>2528</v>
      </c>
      <c r="D259" s="1" t="s">
        <v>5024</v>
      </c>
    </row>
    <row r="260" spans="1:6" ht="30">
      <c r="A260" s="2" t="s">
        <v>1213</v>
      </c>
      <c r="B260" s="1" t="s">
        <v>1214</v>
      </c>
      <c r="C260" s="1" t="s">
        <v>1215</v>
      </c>
      <c r="D260" s="1" t="s">
        <v>4641</v>
      </c>
      <c r="E260" s="5" t="str">
        <f>HYPERLINK("mailto:bparker@trrl.org","bparker@trrl.org")</f>
        <v>bparker@trrl.org</v>
      </c>
      <c r="F260" s="6" t="str">
        <f>HYPERLINK("https://threeriverslibraries.org/wordpress-dev/library-locations/charlton-county-public-library/")</f>
        <v>https://threeriverslibraries.org/wordpress-dev/library-locations/charlton-county-public-library/</v>
      </c>
    </row>
    <row r="261" spans="1:4" ht="15">
      <c r="A261" s="2" t="s">
        <v>3986</v>
      </c>
      <c r="B261" s="1" t="s">
        <v>3987</v>
      </c>
      <c r="C261" s="1" t="s">
        <v>3988</v>
      </c>
      <c r="D261" s="1" t="s">
        <v>5418</v>
      </c>
    </row>
    <row r="262" spans="1:6" ht="15">
      <c r="A262" s="2" t="s">
        <v>1519</v>
      </c>
      <c r="B262" s="1" t="s">
        <v>1520</v>
      </c>
      <c r="C262" s="1" t="s">
        <v>1521</v>
      </c>
      <c r="D262" s="1" t="s">
        <v>4737</v>
      </c>
      <c r="E262" s="5" t="str">
        <f>HYPERLINK("mailto:davisd@ngrl.org","davisd@ngrl.org")</f>
        <v>davisd@ngrl.org</v>
      </c>
      <c r="F262" s="6" t="str">
        <f>HYPERLINK("https://ngrl.org/locations/chatsworth-murray/")</f>
        <v>https://ngrl.org/locations/chatsworth-murray/</v>
      </c>
    </row>
    <row r="263" spans="1:7" ht="15">
      <c r="A263" s="2" t="s">
        <v>3622</v>
      </c>
      <c r="B263" s="1" t="s">
        <v>3623</v>
      </c>
      <c r="C263" s="1" t="s">
        <v>3624</v>
      </c>
      <c r="D263" s="1" t="s">
        <v>5335</v>
      </c>
      <c r="G263" s="5" t="str">
        <f>HYPERLINK("https://www.facebook.com/Chattahoochee-County-Historic-Preservation-Society-255215751245940")</f>
        <v>https://www.facebook.com/Chattahoochee-County-Historic-Preservation-Society-255215751245940</v>
      </c>
    </row>
    <row r="264" spans="1:6" ht="15">
      <c r="A264" s="2" t="s">
        <v>1375</v>
      </c>
      <c r="B264" s="1" t="s">
        <v>1376</v>
      </c>
      <c r="C264" s="1" t="s">
        <v>1377</v>
      </c>
      <c r="D264" s="1" t="s">
        <v>4690</v>
      </c>
      <c r="F264" s="6" t="str">
        <f>HYPERLINK("https://www.cvlga.org/cusseta-chattahoochee-public-library/")</f>
        <v>https://www.cvlga.org/cusseta-chattahoochee-public-library/</v>
      </c>
    </row>
    <row r="265" spans="1:3" ht="15">
      <c r="A265" s="2" t="s">
        <v>470</v>
      </c>
      <c r="C265" s="1" t="s">
        <v>471</v>
      </c>
    </row>
    <row r="266" spans="1:6" ht="15">
      <c r="A266" s="2" t="s">
        <v>3286</v>
      </c>
      <c r="B266" s="1" t="s">
        <v>3287</v>
      </c>
      <c r="C266" s="1" t="s">
        <v>3288</v>
      </c>
      <c r="D266" s="1" t="s">
        <v>5245</v>
      </c>
      <c r="F266" s="6" t="str">
        <f>HYPERLINK("https://www.chattahoocheetech.edu/library/")</f>
        <v>https://www.chattahoocheetech.edu/library/</v>
      </c>
    </row>
    <row r="267" spans="1:6" ht="15">
      <c r="A267" s="2" t="s">
        <v>3343</v>
      </c>
      <c r="B267" s="1" t="s">
        <v>3344</v>
      </c>
      <c r="C267" s="1" t="s">
        <v>3345</v>
      </c>
      <c r="D267" s="1" t="s">
        <v>5245</v>
      </c>
      <c r="F267" s="6" t="str">
        <f>HYPERLINK("https://www.chattahoocheetech.edu/library/")</f>
        <v>https://www.chattahoocheetech.edu/library/</v>
      </c>
    </row>
    <row r="268" spans="1:6" ht="15">
      <c r="A268" s="2" t="s">
        <v>3283</v>
      </c>
      <c r="B268" s="1" t="s">
        <v>3284</v>
      </c>
      <c r="C268" s="1" t="s">
        <v>3285</v>
      </c>
      <c r="D268" s="1" t="s">
        <v>5245</v>
      </c>
      <c r="F268" s="6" t="str">
        <f>HYPERLINK("https://www.chattahoocheetech.edu/library/")</f>
        <v>https://www.chattahoocheetech.edu/library/</v>
      </c>
    </row>
    <row r="269" spans="1:6" ht="30">
      <c r="A269" s="2" t="s">
        <v>3289</v>
      </c>
      <c r="B269" s="1" t="s">
        <v>3290</v>
      </c>
      <c r="C269" s="1" t="s">
        <v>3291</v>
      </c>
      <c r="D269" s="1" t="s">
        <v>5245</v>
      </c>
      <c r="F269" s="6" t="str">
        <f>HYPERLINK("https://www.chattahoocheetech.edu/library/")</f>
        <v>https://www.chattahoocheetech.edu/library/</v>
      </c>
    </row>
    <row r="270" spans="1:6" ht="30">
      <c r="A270" s="2" t="s">
        <v>3292</v>
      </c>
      <c r="B270" s="1" t="s">
        <v>3293</v>
      </c>
      <c r="C270" s="1" t="s">
        <v>3294</v>
      </c>
      <c r="D270" s="1" t="s">
        <v>5245</v>
      </c>
      <c r="F270" s="6" t="str">
        <f>HYPERLINK("https://www.chattahoocheetech.edu/library/")</f>
        <v>https://www.chattahoocheetech.edu/library/</v>
      </c>
    </row>
    <row r="271" spans="1:6" ht="15">
      <c r="A271" s="2" t="s">
        <v>3295</v>
      </c>
      <c r="B271" s="1" t="s">
        <v>3296</v>
      </c>
      <c r="C271" s="1" t="s">
        <v>3297</v>
      </c>
      <c r="D271" s="1" t="s">
        <v>5245</v>
      </c>
      <c r="F271" s="6" t="str">
        <f>HYPERLINK("https://www.chattahoocheetech.edu/library/")</f>
        <v>https://www.chattahoocheetech.edu/library/</v>
      </c>
    </row>
    <row r="272" spans="1:6" ht="15">
      <c r="A272" s="2" t="s">
        <v>3298</v>
      </c>
      <c r="B272" s="1" t="s">
        <v>3299</v>
      </c>
      <c r="C272" s="1" t="s">
        <v>3300</v>
      </c>
      <c r="D272" s="1" t="s">
        <v>5245</v>
      </c>
      <c r="F272" s="6" t="str">
        <f>HYPERLINK("https://www.chattahoocheetech.edu/library/")</f>
        <v>https://www.chattahoocheetech.edu/library/</v>
      </c>
    </row>
    <row r="273" spans="1:6" ht="30">
      <c r="A273" s="2" t="s">
        <v>2499</v>
      </c>
      <c r="B273" s="1" t="s">
        <v>1385</v>
      </c>
      <c r="C273" s="1" t="s">
        <v>2500</v>
      </c>
      <c r="D273" s="1" t="s">
        <v>5017</v>
      </c>
      <c r="E273" s="5" t="str">
        <f>HYPERLINK("mailto:genealogy@cvlga.org","genealogy@cvlga.org")</f>
        <v>genealogy@cvlga.org</v>
      </c>
      <c r="F273" s="6" t="str">
        <f>HYPERLINK("http://www.cvlga.org/genealogy-local-history/")</f>
        <v>http://www.cvlga.org/genealogy-local-history/</v>
      </c>
    </row>
    <row r="274" spans="1:6" ht="15">
      <c r="A274" s="2" t="s">
        <v>2501</v>
      </c>
      <c r="F274" s="6" t="str">
        <f>HYPERLINK("http://www.chattoogahistory.org/")</f>
        <v>http://www.chattoogahistory.org/</v>
      </c>
    </row>
    <row r="275" spans="1:6" ht="15">
      <c r="A275" s="2" t="s">
        <v>889</v>
      </c>
      <c r="B275" s="1" t="s">
        <v>890</v>
      </c>
      <c r="C275" s="1" t="s">
        <v>891</v>
      </c>
      <c r="D275" s="1" t="s">
        <v>4535</v>
      </c>
      <c r="F275" s="6" t="str">
        <f>HYPERLINK("https://chattoogacountylibrary.org/?page_id=5")</f>
        <v>https://chattoogacountylibrary.org/?page_id=5</v>
      </c>
    </row>
    <row r="276" spans="1:6" ht="15">
      <c r="A276" s="2" t="s">
        <v>2502</v>
      </c>
      <c r="B276" s="1" t="s">
        <v>890</v>
      </c>
      <c r="C276" s="1" t="s">
        <v>2503</v>
      </c>
      <c r="D276" s="1" t="s">
        <v>4535</v>
      </c>
      <c r="F276" s="6" t="str">
        <f>HYPERLINK("https://chattoogacountylibrary.org/?page_id=60")</f>
        <v>https://chattoogacountylibrary.org/?page_id=60</v>
      </c>
    </row>
    <row r="277" spans="1:6" ht="15">
      <c r="A277" s="2" t="s">
        <v>2284</v>
      </c>
      <c r="B277" s="1" t="s">
        <v>2285</v>
      </c>
      <c r="C277" s="1" t="s">
        <v>2286</v>
      </c>
      <c r="D277" s="1" t="s">
        <v>4956</v>
      </c>
      <c r="E277" s="5" t="str">
        <f>HYPERLINK("mailto:sjoyner@rockbarn.org","sjoyner@rockbarn.org")</f>
        <v>sjoyner@rockbarn.org</v>
      </c>
      <c r="F277" s="6" t="str">
        <f>HYPERLINK("http://www.rockbarn.org/")</f>
        <v>http://www.rockbarn.org/</v>
      </c>
    </row>
    <row r="278" spans="1:6" ht="15">
      <c r="A278" s="2" t="s">
        <v>910</v>
      </c>
      <c r="B278" s="1" t="s">
        <v>911</v>
      </c>
      <c r="C278" s="1" t="s">
        <v>912</v>
      </c>
      <c r="D278" s="1" t="s">
        <v>4542</v>
      </c>
      <c r="E278" s="5" t="str">
        <f>HYPERLINK("mailto:robertsm@seqlib.org","robertsm@seqlib.org")</f>
        <v>robertsm@seqlib.org</v>
      </c>
      <c r="F278" s="6" t="str">
        <f>HYPERLINK("https://www.sequoyahregionallibrary.org/law/")</f>
        <v>https://www.sequoyahregionallibrary.org/law/</v>
      </c>
    </row>
    <row r="279" spans="1:7" ht="15">
      <c r="A279" s="2" t="s">
        <v>4080</v>
      </c>
      <c r="D279" s="1" t="s">
        <v>5452</v>
      </c>
      <c r="E279" s="5" t="str">
        <f>HYPERLINK("mailto:chestatee.artists@gmail.com","chestatee.artists@gmail.com")</f>
        <v>chestatee.artists@gmail.com</v>
      </c>
      <c r="F279" s="6" t="str">
        <f>HYPERLINK("http://www.chestateeartists.org/")</f>
        <v>http://www.chestateeartists.org/</v>
      </c>
      <c r="G279" s="5" t="str">
        <f>HYPERLINK("https://www.facebook.com/ChestateeArtists")</f>
        <v>https://www.facebook.com/ChestateeArtists</v>
      </c>
    </row>
    <row r="280" spans="1:3" ht="15">
      <c r="A280" s="2" t="s">
        <v>4280</v>
      </c>
      <c r="C280" s="1" t="s">
        <v>4281</v>
      </c>
    </row>
    <row r="281" spans="1:6" ht="15">
      <c r="A281" s="2" t="s">
        <v>1516</v>
      </c>
      <c r="B281" s="1" t="s">
        <v>1517</v>
      </c>
      <c r="C281" s="1" t="s">
        <v>1518</v>
      </c>
      <c r="D281" s="1" t="s">
        <v>4736</v>
      </c>
      <c r="F281" s="6" t="str">
        <f>HYPERLINK("https://www.chrl.org/chickamauga-public-library/")</f>
        <v>https://www.chrl.org/chickamauga-public-library/</v>
      </c>
    </row>
    <row r="282" spans="1:6" ht="15">
      <c r="A282" s="2" t="s">
        <v>2504</v>
      </c>
      <c r="B282" s="1" t="s">
        <v>2505</v>
      </c>
      <c r="C282" s="1" t="s">
        <v>2506</v>
      </c>
      <c r="D282" s="1" t="s">
        <v>5018</v>
      </c>
      <c r="F282" s="6" t="str">
        <f>HYPERLINK("https://gastateparks.org/ChiefVannHouse")</f>
        <v>https://gastateparks.org/ChiefVannHouse</v>
      </c>
    </row>
    <row r="283" spans="1:6" ht="15">
      <c r="A283" s="2" t="s">
        <v>472</v>
      </c>
      <c r="B283" s="1" t="s">
        <v>473</v>
      </c>
      <c r="C283" s="1" t="s">
        <v>474</v>
      </c>
      <c r="D283" s="1" t="s">
        <v>4413</v>
      </c>
      <c r="E283" s="5" t="str">
        <f>HYPERLINK("mailto:chmuseum@bellsouth.net","chmuseum@bellsouth.net")</f>
        <v>chmuseum@bellsouth.net</v>
      </c>
      <c r="F283" s="6" t="str">
        <f>HYPERLINK("https://chieftainsmuseum.org/")</f>
        <v>https://chieftainsmuseum.org/</v>
      </c>
    </row>
    <row r="284" spans="1:6" ht="15">
      <c r="A284" s="2" t="s">
        <v>2507</v>
      </c>
      <c r="B284" s="1" t="s">
        <v>2508</v>
      </c>
      <c r="C284" s="1" t="s">
        <v>2509</v>
      </c>
      <c r="D284" s="1" t="s">
        <v>5019</v>
      </c>
      <c r="E284" s="5" t="str">
        <f>HYPERLINK("mailto:info@chipleyhistoriccenter.org","info@chipleyhistoriccenter.org")</f>
        <v>info@chipleyhistoriccenter.org</v>
      </c>
      <c r="F284" s="6" t="str">
        <f>HYPERLINK("https://chipleyhistoriccenter.org/")</f>
        <v>https://chipleyhistoriccenter.org/</v>
      </c>
    </row>
    <row r="285" spans="1:8" ht="15">
      <c r="A285" s="2" t="s">
        <v>4081</v>
      </c>
      <c r="D285" s="1" t="s">
        <v>5453</v>
      </c>
      <c r="E285" s="5" t="str">
        <f>HYPERLINK("mailto:info@chopart.org","info@chopart.org")</f>
        <v>info@chopart.org</v>
      </c>
      <c r="F285" s="6" t="str">
        <f>HYPERLINK("http://www.chopart.co/")</f>
        <v>http://www.chopart.co/</v>
      </c>
      <c r="G285" s="5" t="str">
        <f>HYPERLINK("https://www.facebook.com/heychopart")</f>
        <v>https://www.facebook.com/heychopart</v>
      </c>
      <c r="H285" s="5" t="str">
        <f>HYPERLINK("https://twitter.com/heyChopArt")</f>
        <v>https://twitter.com/heyChopArt</v>
      </c>
    </row>
    <row r="286" spans="1:6" ht="15">
      <c r="A286" s="2" t="s">
        <v>1756</v>
      </c>
      <c r="B286" s="1" t="s">
        <v>1757</v>
      </c>
      <c r="C286" s="1" t="s">
        <v>1758</v>
      </c>
      <c r="D286" s="1" t="s">
        <v>4797</v>
      </c>
      <c r="E286" s="5" t="str">
        <f>HYPERLINK("mailto:director@athenswelcomecenter.com","director@athenswelcomecenter.com")</f>
        <v>director@athenswelcomecenter.com</v>
      </c>
      <c r="F286" s="6" t="str">
        <f>HYPERLINK("https://www.athenswelcomecenter.com/house-museum")</f>
        <v>https://www.athenswelcomecenter.com/house-museum</v>
      </c>
    </row>
    <row r="287" spans="1:6" ht="15">
      <c r="A287" s="2" t="s">
        <v>475</v>
      </c>
      <c r="B287" s="1" t="s">
        <v>476</v>
      </c>
      <c r="C287" s="1" t="s">
        <v>477</v>
      </c>
      <c r="F287" s="6" t="str">
        <f>HYPERLINK("https://wacohistorical.org/historical-sites/old-city-cemetery-ca-1831/")</f>
        <v>https://wacohistorical.org/historical-sites/old-city-cemetery-ca-1831/</v>
      </c>
    </row>
    <row r="288" spans="1:6" ht="30">
      <c r="A288" s="2" t="s">
        <v>2513</v>
      </c>
      <c r="B288" s="1" t="s">
        <v>2514</v>
      </c>
      <c r="C288" s="1" t="s">
        <v>2515</v>
      </c>
      <c r="D288" s="1" t="s">
        <v>5021</v>
      </c>
      <c r="E288" s="5" t="str">
        <f>HYPERLINK("mailto:Lspracher@savannahga.gov","Lspracher@savannahga.gov")</f>
        <v>Lspracher@savannahga.gov</v>
      </c>
      <c r="F288" s="6" t="str">
        <f>HYPERLINK("http://www.savannahga.gov/475/Municipal-Archives")</f>
        <v>http://www.savannahga.gov/475/Municipal-Archives</v>
      </c>
    </row>
    <row r="289" spans="1:7" ht="15">
      <c r="A289" s="2" t="s">
        <v>4082</v>
      </c>
      <c r="B289" s="1" t="s">
        <v>4083</v>
      </c>
      <c r="C289" s="1" t="s">
        <v>4084</v>
      </c>
      <c r="D289" s="1" t="s">
        <v>5454</v>
      </c>
      <c r="E289" s="5" t="str">
        <f>HYPERLINK("mailto:admin@cjefoundation.org","admin@cjefoundation.org")</f>
        <v>admin@cjefoundation.org</v>
      </c>
      <c r="F289" s="6" t="str">
        <f>HYPERLINK("https://cjefoundation.org/")</f>
        <v>https://cjefoundation.org/</v>
      </c>
      <c r="G289" s="5" t="str">
        <f>HYPERLINK("https://www.facebook.com/cjefoundation")</f>
        <v>https://www.facebook.com/cjefoundation</v>
      </c>
    </row>
    <row r="290" spans="1:6" ht="15">
      <c r="A290" s="2" t="s">
        <v>2516</v>
      </c>
      <c r="E290" s="5" t="str">
        <f>HYPERLINK("mailto:cogsgenealogy@gmail.com","cogsgenealogy@gmail.com")</f>
        <v>cogsgenealogy@gmail.com</v>
      </c>
      <c r="F290" s="6" t="str">
        <f>HYPERLINK("https://sites.rootsweb.com/~gacogs/index.html")</f>
        <v>https://sites.rootsweb.com/~gacogs/index.html</v>
      </c>
    </row>
    <row r="291" spans="1:6" ht="15">
      <c r="A291" s="2" t="s">
        <v>1243</v>
      </c>
      <c r="B291" s="1" t="s">
        <v>1244</v>
      </c>
      <c r="C291" s="1" t="s">
        <v>1245</v>
      </c>
      <c r="D291" s="1" t="s">
        <v>4646</v>
      </c>
      <c r="F291" s="6" t="str">
        <f>HYPERLINK("https://clarkesvillelibrary.org/")</f>
        <v>https://clarkesvillelibrary.org/</v>
      </c>
    </row>
    <row r="292" spans="1:6" ht="15">
      <c r="A292" s="2" t="s">
        <v>1066</v>
      </c>
      <c r="B292" s="1" t="s">
        <v>1067</v>
      </c>
      <c r="C292" s="1" t="s">
        <v>1068</v>
      </c>
      <c r="D292" s="1" t="s">
        <v>4593</v>
      </c>
      <c r="F292" s="6" t="str">
        <f>HYPERLINK("https://dekalblibrary.org/branches/clar")</f>
        <v>https://dekalblibrary.org/branches/clar</v>
      </c>
    </row>
    <row r="293" spans="1:6" ht="15">
      <c r="A293" s="2" t="s">
        <v>4085</v>
      </c>
      <c r="B293" s="1" t="s">
        <v>4086</v>
      </c>
      <c r="C293" s="1" t="s">
        <v>4087</v>
      </c>
      <c r="D293" s="1" t="s">
        <v>5455</v>
      </c>
      <c r="E293" s="5" t="str">
        <f>HYPERLINK("mailto:Stephanie@ClassicCenter.com","Stephanie@ClassicCenter.com")</f>
        <v>Stephanie@ClassicCenter.com</v>
      </c>
      <c r="F293" s="6" t="str">
        <f>HYPERLINK("https://classiccenter.com/150/Cultural-Foundation")</f>
        <v>https://classiccenter.com/150/Cultural-Foundation</v>
      </c>
    </row>
    <row r="294" spans="1:7" ht="15">
      <c r="A294" s="2" t="s">
        <v>2223</v>
      </c>
      <c r="B294" s="1" t="s">
        <v>2224</v>
      </c>
      <c r="C294" s="1" t="s">
        <v>2225</v>
      </c>
      <c r="D294" s="1" t="s">
        <v>4938</v>
      </c>
      <c r="E294" s="5" t="str">
        <f>HYPERLINK("mailto:clax@strl.info","clax@strl.info")</f>
        <v>clax@strl.info</v>
      </c>
      <c r="F294" s="6" t="str">
        <f>HYPERLINK("https://strl.info/claxton-library/")</f>
        <v>https://strl.info/claxton-library/</v>
      </c>
      <c r="G294" s="5" t="str">
        <f>HYPERLINK("https://www.facebook.com/evanscountylibrary")</f>
        <v>https://www.facebook.com/evanscountylibrary</v>
      </c>
    </row>
    <row r="295" spans="1:6" ht="15">
      <c r="A295" s="2" t="s">
        <v>2135</v>
      </c>
      <c r="B295" s="1" t="s">
        <v>2136</v>
      </c>
      <c r="C295" s="1" t="s">
        <v>2137</v>
      </c>
      <c r="D295" s="1" t="s">
        <v>4909</v>
      </c>
      <c r="F295" s="6" t="str">
        <f>HYPERLINK("https://krlibrary.org/?page_id=16")</f>
        <v>https://krlibrary.org/?page_id=16</v>
      </c>
    </row>
    <row r="296" spans="1:6" ht="15">
      <c r="A296" s="2" t="s">
        <v>943</v>
      </c>
      <c r="B296" s="1" t="s">
        <v>944</v>
      </c>
      <c r="C296" s="1" t="s">
        <v>945</v>
      </c>
      <c r="D296" s="1" t="s">
        <v>4553</v>
      </c>
      <c r="F296" s="6" t="str">
        <f>HYPERLINK("https://claytonpl.org/locations/headquarters/")</f>
        <v>https://claytonpl.org/locations/headquarters/</v>
      </c>
    </row>
    <row r="297" spans="1:6" ht="30">
      <c r="A297" s="2" t="s">
        <v>2517</v>
      </c>
      <c r="B297" s="1" t="s">
        <v>2518</v>
      </c>
      <c r="C297" s="1" t="s">
        <v>2519</v>
      </c>
      <c r="D297" s="1" t="s">
        <v>5022</v>
      </c>
      <c r="E297" s="5" t="str">
        <f>HYPERLINK("mailto:feechihall@clayton.edu","feechihall@clayton.edu")</f>
        <v>feechihall@clayton.edu</v>
      </c>
      <c r="F297" s="6" t="str">
        <f>HYPERLINK("https://www.clayton.edu/archives/")</f>
        <v>https://www.clayton.edu/archives/</v>
      </c>
    </row>
    <row r="298" spans="1:6" ht="15">
      <c r="A298" s="2" t="s">
        <v>3141</v>
      </c>
      <c r="B298" s="1" t="s">
        <v>2518</v>
      </c>
      <c r="C298" s="1" t="s">
        <v>3142</v>
      </c>
      <c r="D298" s="1" t="s">
        <v>5202</v>
      </c>
      <c r="E298" s="5" t="str">
        <f>HYPERLINK("mailto:SonyaGaither@clayton.edu","SonyaGaither@clayton.edu")</f>
        <v>SonyaGaither@clayton.edu</v>
      </c>
      <c r="F298" s="6" t="str">
        <f>HYPERLINK("https://www.clayton.edu/library/")</f>
        <v>https://www.clayton.edu/library/</v>
      </c>
    </row>
    <row r="299" spans="1:7" ht="15">
      <c r="A299" s="2" t="s">
        <v>3454</v>
      </c>
      <c r="D299" s="1" t="s">
        <v>5294</v>
      </c>
      <c r="E299" s="5" t="str">
        <f>HYPERLINK("mailto:thehistoricdip@aol.com","thehistoricdip@aol.com")</f>
        <v>thehistoricdip@aol.com</v>
      </c>
      <c r="G299" s="5" t="str">
        <f>HYPERLINK("https://www.facebook.com/ClermontHistoricalSociety")</f>
        <v>https://www.facebook.com/ClermontHistoricalSociety</v>
      </c>
    </row>
    <row r="300" spans="1:6" ht="30">
      <c r="A300" s="2" t="s">
        <v>1192</v>
      </c>
      <c r="B300" s="1" t="s">
        <v>1193</v>
      </c>
      <c r="C300" s="1" t="s">
        <v>1194</v>
      </c>
      <c r="D300" s="1" t="s">
        <v>4634</v>
      </c>
      <c r="F300" s="6" t="str">
        <f>HYPERLINK("http://www.afpls.org/cleveland-ave-branch")</f>
        <v>http://www.afpls.org/cleveland-ave-branch</v>
      </c>
    </row>
    <row r="301" spans="1:6" ht="15">
      <c r="A301" s="2" t="s">
        <v>1252</v>
      </c>
      <c r="B301" s="1" t="s">
        <v>1253</v>
      </c>
      <c r="C301" s="1" t="s">
        <v>1254</v>
      </c>
      <c r="D301" s="1" t="s">
        <v>4649</v>
      </c>
      <c r="F301" s="6" t="str">
        <f>HYPERLINK("https://negeorgialibraries.org/affiliate-libraries/")</f>
        <v>https://negeorgialibraries.org/affiliate-libraries/</v>
      </c>
    </row>
    <row r="302" spans="1:6" ht="15">
      <c r="A302" s="2" t="s">
        <v>1558</v>
      </c>
      <c r="B302" s="1" t="s">
        <v>1559</v>
      </c>
      <c r="C302" s="1" t="s">
        <v>1560</v>
      </c>
      <c r="D302" s="1" t="s">
        <v>4750</v>
      </c>
      <c r="F302" s="6" t="str">
        <f>HYPERLINK("https://okrls.org/clinch/")</f>
        <v>https://okrls.org/clinch/</v>
      </c>
    </row>
    <row r="303" spans="1:3" ht="15">
      <c r="A303" s="2" t="s">
        <v>478</v>
      </c>
      <c r="C303" s="1" t="s">
        <v>479</v>
      </c>
    </row>
    <row r="304" spans="1:6" ht="30">
      <c r="A304" s="2" t="s">
        <v>2520</v>
      </c>
      <c r="B304" s="1" t="s">
        <v>2521</v>
      </c>
      <c r="C304" s="1" t="s">
        <v>2522</v>
      </c>
      <c r="D304" s="1" t="s">
        <v>4365</v>
      </c>
      <c r="F304" s="6" t="str">
        <f>HYPERLINK("http://thesga.org/category/chapters/coastal-georgia-archaeological-society/")</f>
        <v>http://thesga.org/category/chapters/coastal-georgia-archaeological-society/</v>
      </c>
    </row>
    <row r="305" spans="1:7" ht="30">
      <c r="A305" s="2" t="s">
        <v>2390</v>
      </c>
      <c r="B305" s="1" t="s">
        <v>2391</v>
      </c>
      <c r="C305" s="1" t="s">
        <v>2392</v>
      </c>
      <c r="D305" s="1" t="s">
        <v>4980</v>
      </c>
      <c r="F305" s="6" t="str">
        <f>HYPERLINK("https://coastalbg.uga.edu/plan-your-visit/about-us/")</f>
        <v>https://coastalbg.uga.edu/plan-your-visit/about-us/</v>
      </c>
      <c r="G305" s="5" t="str">
        <f>HYPERLINK("https://www.facebook.com/BambooFarmCoastalGardens")</f>
        <v>https://www.facebook.com/BambooFarmCoastalGardens</v>
      </c>
    </row>
    <row r="306" spans="1:7" ht="15">
      <c r="A306" s="2" t="s">
        <v>136</v>
      </c>
      <c r="B306" s="1" t="s">
        <v>137</v>
      </c>
      <c r="C306" s="1" t="s">
        <v>138</v>
      </c>
      <c r="E306" s="5" t="str">
        <f>HYPERLINK("mailto:coastalgagensociety@gmail.com","coastalgagensociety@gmail.com")</f>
        <v>coastalgagensociety@gmail.com</v>
      </c>
      <c r="F306" s="6" t="str">
        <f>HYPERLINK("https://coastalgagensociety.org/")</f>
        <v>https://coastalgagensociety.org/</v>
      </c>
      <c r="G306" s="5" t="str">
        <f>HYPERLINK("https://www.facebook.com/CoastalGAGenSociety")</f>
        <v>https://www.facebook.com/CoastalGAGenSociety</v>
      </c>
    </row>
    <row r="307" spans="1:6" ht="15">
      <c r="A307" s="2" t="s">
        <v>305</v>
      </c>
      <c r="B307" s="1" t="s">
        <v>306</v>
      </c>
      <c r="C307" s="1" t="s">
        <v>307</v>
      </c>
      <c r="D307" s="1" t="s">
        <v>4365</v>
      </c>
      <c r="F307" s="6" t="str">
        <f>HYPERLINK("https://www.coastalgeorgiahistory.org/")</f>
        <v>https://www.coastalgeorgiahistory.org/</v>
      </c>
    </row>
    <row r="308" spans="1:6" ht="15">
      <c r="A308" s="2" t="s">
        <v>1759</v>
      </c>
      <c r="B308" s="1" t="s">
        <v>1760</v>
      </c>
      <c r="C308" s="1" t="s">
        <v>1761</v>
      </c>
      <c r="D308" s="1" t="s">
        <v>4798</v>
      </c>
      <c r="E308" s="5" t="str">
        <f>HYPERLINK("mailto:admin@chsgeorgia.org","admin@chsgeorgia.org")</f>
        <v>admin@chsgeorgia.org</v>
      </c>
      <c r="F308" s="6" t="str">
        <f>HYPERLINK("http://www.chsgeorgia.org/")</f>
        <v>http://www.chsgeorgia.org/</v>
      </c>
    </row>
    <row r="309" spans="1:6" ht="30">
      <c r="A309" s="2" t="s">
        <v>3316</v>
      </c>
      <c r="B309" s="1" t="s">
        <v>3317</v>
      </c>
      <c r="C309" s="1" t="s">
        <v>3318</v>
      </c>
      <c r="D309" s="1" t="s">
        <v>5251</v>
      </c>
      <c r="F309" s="6" t="str">
        <f>HYPERLINK("http://libguides.coastalpines.edu/libraryservices/alma")</f>
        <v>http://libguides.coastalpines.edu/libraryservices/alma</v>
      </c>
    </row>
    <row r="310" spans="1:6" ht="30">
      <c r="A310" s="2" t="s">
        <v>3313</v>
      </c>
      <c r="B310" s="1" t="s">
        <v>3314</v>
      </c>
      <c r="C310" s="1" t="s">
        <v>3315</v>
      </c>
      <c r="D310" s="1" t="s">
        <v>5250</v>
      </c>
      <c r="F310" s="6" t="str">
        <f>HYPERLINK("http://libguides.coastalpines.edu/libraryservices/baxley")</f>
        <v>http://libguides.coastalpines.edu/libraryservices/baxley</v>
      </c>
    </row>
    <row r="311" spans="1:6" ht="15">
      <c r="A311" s="2" t="s">
        <v>3310</v>
      </c>
      <c r="B311" s="1" t="s">
        <v>3311</v>
      </c>
      <c r="C311" s="1" t="s">
        <v>3312</v>
      </c>
      <c r="D311" s="1" t="s">
        <v>5249</v>
      </c>
      <c r="F311" s="6" t="str">
        <f>HYPERLINK("http://libguides.coastalpines.edu/libraryservices/goldenisles")</f>
        <v>http://libguides.coastalpines.edu/libraryservices/goldenisles</v>
      </c>
    </row>
    <row r="312" spans="1:6" ht="30">
      <c r="A312" s="2" t="s">
        <v>3307</v>
      </c>
      <c r="B312" s="1" t="s">
        <v>3308</v>
      </c>
      <c r="C312" s="1" t="s">
        <v>3309</v>
      </c>
      <c r="D312" s="1" t="s">
        <v>5248</v>
      </c>
      <c r="F312" s="6" t="str">
        <f>HYPERLINK("http://libguides.coastalpines.edu/libraryservices/hazlehurst")</f>
        <v>http://libguides.coastalpines.edu/libraryservices/hazlehurst</v>
      </c>
    </row>
    <row r="313" spans="1:6" ht="15">
      <c r="A313" s="2" t="s">
        <v>3304</v>
      </c>
      <c r="B313" s="1" t="s">
        <v>3305</v>
      </c>
      <c r="C313" s="1" t="s">
        <v>3306</v>
      </c>
      <c r="D313" s="1" t="s">
        <v>5247</v>
      </c>
      <c r="F313" s="6" t="str">
        <f>HYPERLINK("http://libguides.coastalpines.edu/libraryservices/jesup")</f>
        <v>http://libguides.coastalpines.edu/libraryservices/jesup</v>
      </c>
    </row>
    <row r="314" spans="1:6" ht="30">
      <c r="A314" s="2" t="s">
        <v>3301</v>
      </c>
      <c r="B314" s="1" t="s">
        <v>3302</v>
      </c>
      <c r="C314" s="1" t="s">
        <v>3303</v>
      </c>
      <c r="D314" s="1" t="s">
        <v>5246</v>
      </c>
      <c r="F314" s="6" t="str">
        <f>HYPERLINK("http://libguides.coastalpines.edu/libraryservices/waycross")</f>
        <v>http://libguides.coastalpines.edu/libraryservices/waycross</v>
      </c>
    </row>
    <row r="315" spans="1:6" ht="15">
      <c r="A315" s="2" t="s">
        <v>1483</v>
      </c>
      <c r="B315" s="1" t="s">
        <v>1484</v>
      </c>
      <c r="C315" s="1" t="s">
        <v>1485</v>
      </c>
      <c r="D315" s="1" t="s">
        <v>4725</v>
      </c>
      <c r="F315" s="6" t="str">
        <f>HYPERLINK("https://www.cprl.org/regional/")</f>
        <v>https://www.cprl.org/regional/</v>
      </c>
    </row>
    <row r="316" spans="1:6" ht="15">
      <c r="A316" s="2" t="s">
        <v>2529</v>
      </c>
      <c r="E316" s="5" t="str">
        <f>HYPERLINK("mailto:ccgs@cobbgagensoc.org","ccgs@cobbgagensoc.org")</f>
        <v>ccgs@cobbgagensoc.org</v>
      </c>
      <c r="F316" s="6" t="str">
        <f>HYPERLINK("https://cobbgagensoc.org/")</f>
        <v>https://cobbgagensoc.org/</v>
      </c>
    </row>
    <row r="317" spans="1:6" ht="45">
      <c r="A317" s="2" t="s">
        <v>2530</v>
      </c>
      <c r="B317" s="1" t="s">
        <v>2531</v>
      </c>
      <c r="C317" s="1" t="s">
        <v>2532</v>
      </c>
      <c r="D317" s="1" t="s">
        <v>5025</v>
      </c>
      <c r="E317" s="5" t="str">
        <f>HYPERLINK("mailto:comdev@cobbcounty.org","comdev@cobbcounty.org")</f>
        <v>comdev@cobbcounty.org</v>
      </c>
      <c r="F317" s="6" t="str">
        <f>HYPERLINK("https://www.cobbcounty.org/community-development/planning/historic-preservation/historic-preservation-commission")</f>
        <v>https://www.cobbcounty.org/community-development/planning/historic-preservation/historic-preservation-commission</v>
      </c>
    </row>
    <row r="318" spans="1:6" ht="15">
      <c r="A318" s="2" t="s">
        <v>2533</v>
      </c>
      <c r="B318" s="1" t="s">
        <v>2534</v>
      </c>
      <c r="C318" s="1" t="s">
        <v>2535</v>
      </c>
      <c r="D318" s="1" t="s">
        <v>5026</v>
      </c>
      <c r="F318" s="6" t="str">
        <f>HYPERLINK("http://www.cobbcountyyouthmuseum.org")</f>
        <v>http://www.cobbcountyyouthmuseum.org</v>
      </c>
    </row>
    <row r="319" spans="1:6" ht="15">
      <c r="A319" s="2" t="s">
        <v>1673</v>
      </c>
      <c r="B319" s="1" t="s">
        <v>1674</v>
      </c>
      <c r="C319" s="1" t="s">
        <v>1675</v>
      </c>
      <c r="D319" s="1" t="s">
        <v>4777</v>
      </c>
      <c r="E319" s="5" t="str">
        <f>HYPERLINK("mailto:executive.director@cobblandmarks.com","executive.director@cobblandmarks.com")</f>
        <v>executive.director@cobblandmarks.com</v>
      </c>
      <c r="F319" s="6" t="str">
        <f>HYPERLINK("http://www.cobblandmarks.com/")</f>
        <v>http://www.cobblandmarks.com/</v>
      </c>
    </row>
    <row r="320" spans="1:7" ht="15">
      <c r="A320" s="2" t="s">
        <v>3883</v>
      </c>
      <c r="B320" s="1" t="s">
        <v>3884</v>
      </c>
      <c r="C320" s="1" t="s">
        <v>3885</v>
      </c>
      <c r="D320" s="1" t="s">
        <v>5396</v>
      </c>
      <c r="E320" s="5" t="str">
        <f>HYPERLINK("mailto:info@ccssc.org","info@ccssc.org")</f>
        <v>info@ccssc.org</v>
      </c>
      <c r="F320" s="6" t="str">
        <f>HYPERLINK("https://www.ccssc.org/")</f>
        <v>https://www.ccssc.org/</v>
      </c>
      <c r="G320" s="5" t="str">
        <f>HYPERLINK("https://www.facebook.com/CocaColaSpaceScienceCenter")</f>
        <v>https://www.facebook.com/CocaColaSpaceScienceCenter</v>
      </c>
    </row>
    <row r="321" spans="1:6" ht="15">
      <c r="A321" s="2" t="s">
        <v>2536</v>
      </c>
      <c r="B321" s="1" t="s">
        <v>2537</v>
      </c>
      <c r="C321" s="1" t="s">
        <v>2538</v>
      </c>
      <c r="D321" s="1" t="s">
        <v>5027</v>
      </c>
      <c r="F321" s="6" t="str">
        <f>HYPERLINK("https://www.coca-colacompany.com/history")</f>
        <v>https://www.coca-colacompany.com/history</v>
      </c>
    </row>
    <row r="322" spans="1:6" ht="15">
      <c r="A322" s="2" t="s">
        <v>1567</v>
      </c>
      <c r="B322" s="1" t="s">
        <v>1568</v>
      </c>
      <c r="C322" s="1" t="s">
        <v>1569</v>
      </c>
      <c r="D322" s="1" t="s">
        <v>4323</v>
      </c>
      <c r="F322" s="6" t="str">
        <f>HYPERLINK("http://henrylibraries.org/locations-hours/")</f>
        <v>http://henrylibraries.org/locations-hours/</v>
      </c>
    </row>
    <row r="323" spans="1:6" ht="15">
      <c r="A323" s="2" t="s">
        <v>3268</v>
      </c>
      <c r="B323" s="1" t="s">
        <v>3269</v>
      </c>
      <c r="C323" s="1" t="s">
        <v>3270</v>
      </c>
      <c r="D323" s="1" t="s">
        <v>5240</v>
      </c>
      <c r="E323" s="5" t="str">
        <f>HYPERLINK("mailto:library@truett.edu","library@truett.edu")</f>
        <v>library@truett.edu</v>
      </c>
      <c r="F323" s="6" t="str">
        <f>HYPERLINK("http://youseemore.com/truett/")</f>
        <v>http://youseemore.com/truett/</v>
      </c>
    </row>
    <row r="324" spans="1:7" ht="15">
      <c r="A324" s="2" t="s">
        <v>3060</v>
      </c>
      <c r="B324" s="1" t="s">
        <v>2272</v>
      </c>
      <c r="C324" s="1" t="s">
        <v>3061</v>
      </c>
      <c r="D324" s="1" t="s">
        <v>4951</v>
      </c>
      <c r="E324" s="5" t="str">
        <f>HYPERLINK("mailto:coffeehistorical@gmail.com","coffeehistorical@gmail.com")</f>
        <v>coffeehistorical@gmail.com</v>
      </c>
      <c r="G324" s="5" t="str">
        <f>HYPERLINK("https://www.facebook.com/CCHistoricalSociety")</f>
        <v>https://www.facebook.com/CCHistoricalSociety</v>
      </c>
    </row>
    <row r="325" spans="1:6" ht="15">
      <c r="A325" s="2" t="s">
        <v>1764</v>
      </c>
      <c r="B325" s="1" t="s">
        <v>1765</v>
      </c>
      <c r="C325" s="1" t="s">
        <v>1766</v>
      </c>
      <c r="D325" s="1" t="s">
        <v>4800</v>
      </c>
      <c r="E325" s="5" t="str">
        <f>HYPERLINK("mailto:minichairgallery@bellsouth.net","minichairgallery@bellsouth.net")</f>
        <v>minichairgallery@bellsouth.net</v>
      </c>
      <c r="F325" s="6" t="str">
        <f>HYPERLINK("http://www.museumofminiaturechairs.com")</f>
        <v>http://www.museumofminiaturechairs.com</v>
      </c>
    </row>
    <row r="326" spans="1:6" ht="15">
      <c r="A326" s="2" t="s">
        <v>553</v>
      </c>
      <c r="B326" s="1" t="s">
        <v>554</v>
      </c>
      <c r="C326" s="1" t="s">
        <v>555</v>
      </c>
      <c r="D326" s="1" t="s">
        <v>4433</v>
      </c>
      <c r="E326" s="5" t="str">
        <f>HYPERLINK("mailto:jkissinger@ccga.edu","jkissinger@ccga.edu")</f>
        <v>jkissinger@ccga.edu</v>
      </c>
      <c r="F326" s="6" t="str">
        <f>HYPERLINK("https://www.ccga.edu/page.cfm?p=688")</f>
        <v>https://www.ccga.edu/page.cfm?p=688</v>
      </c>
    </row>
    <row r="327" spans="1:6" ht="15">
      <c r="A327" s="2" t="s">
        <v>1144</v>
      </c>
      <c r="B327" s="1" t="s">
        <v>1145</v>
      </c>
      <c r="C327" s="1" t="s">
        <v>1146</v>
      </c>
      <c r="D327" s="1" t="s">
        <v>4618</v>
      </c>
      <c r="F327" s="6" t="str">
        <f>HYPERLINK("http://www.afpls.org/college-park-branch")</f>
        <v>http://www.afpls.org/college-park-branch</v>
      </c>
    </row>
    <row r="328" spans="1:7" ht="15">
      <c r="A328" s="2" t="s">
        <v>2539</v>
      </c>
      <c r="B328" s="1" t="s">
        <v>2540</v>
      </c>
      <c r="C328" s="1" t="s">
        <v>2541</v>
      </c>
      <c r="E328" s="5" t="str">
        <f>HYPERLINK("mailto:collegeparkhistoricalsociety@gmail.com","collegeparkhistoricalsociety@gmail.com")</f>
        <v>collegeparkhistoricalsociety@gmail.com</v>
      </c>
      <c r="G328" s="5" t="str">
        <f>HYPERLINK("https://www.facebook.com/collegeparkhistoricalsociety")</f>
        <v>https://www.facebook.com/collegeparkhistoricalsociety</v>
      </c>
    </row>
    <row r="329" spans="1:6" ht="15">
      <c r="A329" s="2" t="s">
        <v>2103</v>
      </c>
      <c r="B329" s="1" t="s">
        <v>2104</v>
      </c>
      <c r="C329" s="1" t="s">
        <v>2105</v>
      </c>
      <c r="D329" s="1" t="s">
        <v>4645</v>
      </c>
      <c r="F329" s="6" t="str">
        <f>HYPERLINK("https://www.gwinnettpl.org/locations-and-hours/")</f>
        <v>https://www.gwinnettpl.org/locations-and-hours/</v>
      </c>
    </row>
    <row r="330" spans="1:6" ht="30">
      <c r="A330" s="2" t="s">
        <v>2892</v>
      </c>
      <c r="B330" s="1" t="s">
        <v>2893</v>
      </c>
      <c r="C330" s="1" t="s">
        <v>2894</v>
      </c>
      <c r="D330" s="1" t="s">
        <v>5137</v>
      </c>
      <c r="E330" s="5" t="str">
        <f>HYPERLINK("mailto:alewis@paine.edu","alewis@paine.edu")</f>
        <v>alewis@paine.edu</v>
      </c>
      <c r="F330" s="6" t="str">
        <f>HYPERLINK("https://paine.edu/web/academics/library")</f>
        <v>https://paine.edu/web/academics/library</v>
      </c>
    </row>
    <row r="331" spans="1:7" ht="15">
      <c r="A331" s="2" t="s">
        <v>339</v>
      </c>
      <c r="B331" s="1" t="s">
        <v>340</v>
      </c>
      <c r="C331" s="1" t="s">
        <v>341</v>
      </c>
      <c r="D331" s="1" t="s">
        <v>4375</v>
      </c>
      <c r="E331" s="5" t="str">
        <f>HYPERLINK("mailto:candacearts@windstream.net","candacearts@windstream.net")</f>
        <v>candacearts@windstream.net</v>
      </c>
      <c r="F331" s="6" t="str">
        <f>HYPERLINK("https://colquittcountyarts.com/")</f>
        <v>https://colquittcountyarts.com/</v>
      </c>
      <c r="G331" s="5" t="str">
        <f>HYPERLINK("https://www.facebook.com/colquittcountyarts")</f>
        <v>https://www.facebook.com/colquittcountyarts</v>
      </c>
    </row>
    <row r="332" spans="1:6" ht="15">
      <c r="A332" s="2" t="s">
        <v>1006</v>
      </c>
      <c r="B332" s="1" t="s">
        <v>1007</v>
      </c>
      <c r="C332" s="1" t="s">
        <v>1008</v>
      </c>
      <c r="D332" s="1" t="s">
        <v>4573</v>
      </c>
      <c r="E332" s="5" t="str">
        <f>HYPERLINK("mailto:mccls@mccls.org","mccls@mccls.org")</f>
        <v>mccls@mccls.org</v>
      </c>
      <c r="F332" s="6" t="str">
        <f>HYPERLINK("https://www.mccls.org/about-library-2/branches/bookmobile")</f>
        <v>https://www.mccls.org/about-library-2/branches/bookmobile</v>
      </c>
    </row>
    <row r="333" spans="1:4" ht="15">
      <c r="A333" s="2" t="s">
        <v>2542</v>
      </c>
      <c r="B333" s="1" t="s">
        <v>2543</v>
      </c>
      <c r="C333" s="1" t="s">
        <v>2544</v>
      </c>
      <c r="D333" s="1" t="s">
        <v>5028</v>
      </c>
    </row>
    <row r="334" spans="1:6" ht="15">
      <c r="A334" s="2" t="s">
        <v>3880</v>
      </c>
      <c r="B334" s="1" t="s">
        <v>3881</v>
      </c>
      <c r="C334" s="1" t="s">
        <v>3882</v>
      </c>
      <c r="D334" s="1" t="s">
        <v>5395</v>
      </c>
      <c r="F334" s="6" t="str">
        <f>HYPERLINK("https://swampgravy.com/the-arts-council-2/")</f>
        <v>https://swampgravy.com/the-arts-council-2/</v>
      </c>
    </row>
    <row r="335" spans="1:7" ht="15">
      <c r="A335" s="2" t="s">
        <v>3441</v>
      </c>
      <c r="D335" s="1" t="s">
        <v>5289</v>
      </c>
      <c r="G335" s="5" t="str">
        <f>HYPERLINK("https://www.facebook.com/ColumbiaCountyGaHistoricalSociety")</f>
        <v>https://www.facebook.com/ColumbiaCountyGaHistoricalSociety</v>
      </c>
    </row>
    <row r="336" spans="1:7" ht="15">
      <c r="A336" s="2" t="s">
        <v>2319</v>
      </c>
      <c r="B336" s="1" t="s">
        <v>2320</v>
      </c>
      <c r="C336" s="1" t="s">
        <v>2321</v>
      </c>
      <c r="D336" s="1" t="s">
        <v>4962</v>
      </c>
      <c r="F336" s="6" t="str">
        <f>HYPERLINK("https://gchrl.org/branches/columbia-county-library/")</f>
        <v>https://gchrl.org/branches/columbia-county-library/</v>
      </c>
      <c r="G336" s="5" t="str">
        <f>HYPERLINK("https://www.facebook.com/CoCoLibrary")</f>
        <v>https://www.facebook.com/CoCoLibrary</v>
      </c>
    </row>
    <row r="337" spans="1:6" ht="30">
      <c r="A337" s="2" t="s">
        <v>2545</v>
      </c>
      <c r="B337" s="1" t="s">
        <v>2546</v>
      </c>
      <c r="C337" s="1" t="s">
        <v>2547</v>
      </c>
      <c r="D337" s="1" t="s">
        <v>5029</v>
      </c>
      <c r="E337" s="5" t="str">
        <f>HYPERLINK("mailto:ctslibrary@ctsnet.edu","ctslibrary@ctsnet.edu")</f>
        <v>ctslibrary@ctsnet.edu</v>
      </c>
      <c r="F337" s="6" t="str">
        <f>HYPERLINK("https://www.ctsnet.edu/library/")</f>
        <v>https://www.ctsnet.edu/library/</v>
      </c>
    </row>
    <row r="338" spans="1:6" ht="15">
      <c r="A338" s="2" t="s">
        <v>3625</v>
      </c>
      <c r="B338" s="1" t="s">
        <v>3626</v>
      </c>
      <c r="C338" s="1" t="s">
        <v>3627</v>
      </c>
      <c r="D338" s="1" t="s">
        <v>5336</v>
      </c>
      <c r="E338" s="5" t="str">
        <f>HYPERLINK("mailto:columbusblackmus@gmail.com","columbusblackmus@gmail.com")</f>
        <v>columbusblackmus@gmail.com</v>
      </c>
      <c r="F338" s="6" t="str">
        <f>HYPERLINK("http://columbusblackmus.wixsite.com/cbhm")</f>
        <v>http://columbusblackmus.wixsite.com/cbhm</v>
      </c>
    </row>
    <row r="339" spans="1:6" ht="15">
      <c r="A339" s="2" t="s">
        <v>68</v>
      </c>
      <c r="B339" s="1" t="s">
        <v>69</v>
      </c>
      <c r="C339" s="1" t="s">
        <v>70</v>
      </c>
      <c r="D339" s="1" t="s">
        <v>4310</v>
      </c>
      <c r="E339" s="5" t="str">
        <f>HYPERLINK("mailto:rivermarket@hotmail.com","rivermarket@hotmail.com")</f>
        <v>rivermarket@hotmail.com</v>
      </c>
      <c r="F339" s="6" t="str">
        <f>HYPERLINK("http://therivermarketantiques.com/")</f>
        <v>http://therivermarketantiques.com/</v>
      </c>
    </row>
    <row r="340" spans="1:7" ht="15">
      <c r="A340" s="2" t="s">
        <v>3868</v>
      </c>
      <c r="B340" s="1" t="s">
        <v>3869</v>
      </c>
      <c r="C340" s="1" t="s">
        <v>3870</v>
      </c>
      <c r="F340" s="6" t="str">
        <f>HYPERLINK("https://visitcolumbusga.com/culturalarts/")</f>
        <v>https://visitcolumbusga.com/culturalarts/</v>
      </c>
      <c r="G340" s="5" t="str">
        <f>HYPERLINK("https://www.facebook.com/columbusculturalartsalliancega")</f>
        <v>https://www.facebook.com/columbusculturalartsalliancega</v>
      </c>
    </row>
    <row r="341" spans="1:8" ht="15">
      <c r="A341" s="2" t="s">
        <v>480</v>
      </c>
      <c r="B341" s="1" t="s">
        <v>481</v>
      </c>
      <c r="C341" s="1" t="s">
        <v>482</v>
      </c>
      <c r="D341" s="1" t="s">
        <v>4414</v>
      </c>
      <c r="E341" s="5" t="str">
        <f>HYPERLINK("mailto:info@columbusmuseum.com","info@columbusmuseum.com")</f>
        <v>info@columbusmuseum.com</v>
      </c>
      <c r="F341" s="6" t="str">
        <f>HYPERLINK("https://columbusmuseum.com/")</f>
        <v>https://columbusmuseum.com/</v>
      </c>
      <c r="H341" s="5" t="str">
        <f>HYPERLINK("https://twitter.com/museumcolumbus")</f>
        <v>https://twitter.com/museumcolumbus</v>
      </c>
    </row>
    <row r="342" spans="1:7" ht="15">
      <c r="A342" s="2" t="s">
        <v>4089</v>
      </c>
      <c r="B342" s="1" t="s">
        <v>1941</v>
      </c>
      <c r="C342" s="1" t="s">
        <v>4090</v>
      </c>
      <c r="D342" s="1" t="s">
        <v>5457</v>
      </c>
      <c r="E342" s="5" t="str">
        <f>HYPERLINK("mailto:ethomas@csoga.org","ethomas@csoga.org")</f>
        <v>ethomas@csoga.org</v>
      </c>
      <c r="F342" s="6" t="str">
        <f>HYPERLINK("https://csoga.org/")</f>
        <v>https://csoga.org/</v>
      </c>
      <c r="G342" s="5" t="str">
        <f>HYPERLINK("https://www.facebook.com/ColumbusSymphonyGuild")</f>
        <v>https://www.facebook.com/ColumbusSymphonyGuild</v>
      </c>
    </row>
    <row r="343" spans="1:6" ht="15">
      <c r="A343" s="2" t="s">
        <v>2056</v>
      </c>
      <c r="B343" s="1" t="s">
        <v>1385</v>
      </c>
      <c r="C343" s="1" t="s">
        <v>2057</v>
      </c>
      <c r="D343" s="1" t="s">
        <v>4893</v>
      </c>
      <c r="F343" s="6" t="str">
        <f>HYPERLINK("https://www.cvlga.org/columbus-public-library/")</f>
        <v>https://www.cvlga.org/columbus-public-library/</v>
      </c>
    </row>
    <row r="344" spans="1:6" ht="15">
      <c r="A344" s="2" t="s">
        <v>2548</v>
      </c>
      <c r="B344" s="1" t="s">
        <v>2549</v>
      </c>
      <c r="C344" s="1" t="s">
        <v>2550</v>
      </c>
      <c r="D344" s="1" t="s">
        <v>5030</v>
      </c>
      <c r="E344" s="5" t="str">
        <f>HYPERLINK("mailto:owings_david@columbusstate.edu","owings_david@columbusstate.edu")</f>
        <v>owings_david@columbusstate.edu</v>
      </c>
      <c r="F344" s="6" t="str">
        <f>HYPERLINK("https://archives.columbusstate.edu/")</f>
        <v>https://archives.columbusstate.edu/</v>
      </c>
    </row>
    <row r="345" spans="1:6" ht="15">
      <c r="A345" s="2" t="s">
        <v>3152</v>
      </c>
      <c r="B345" s="1" t="s">
        <v>1941</v>
      </c>
      <c r="C345" s="1" t="s">
        <v>3153</v>
      </c>
      <c r="D345" s="1" t="s">
        <v>5206</v>
      </c>
      <c r="E345" s="5" t="str">
        <f>HYPERLINK("mailto:moore_judith@columbusstate.edu","moore_judith@columbusstate.edu")</f>
        <v>moore_judith@columbusstate.edu</v>
      </c>
      <c r="F345" s="6" t="str">
        <f>HYPERLINK("https://musiclibrary.columbusstate.edu/")</f>
        <v>https://musiclibrary.columbusstate.edu/</v>
      </c>
    </row>
    <row r="346" spans="1:6" ht="15">
      <c r="A346" s="2" t="s">
        <v>3319</v>
      </c>
      <c r="B346" s="1" t="s">
        <v>3320</v>
      </c>
      <c r="C346" s="1" t="s">
        <v>3321</v>
      </c>
      <c r="D346" s="1" t="s">
        <v>5252</v>
      </c>
      <c r="E346" s="5" t="str">
        <f>HYPERLINK("mailto:library@columbustech.edu","library@columbustech.edu")</f>
        <v>library@columbustech.edu</v>
      </c>
      <c r="F346" s="6" t="str">
        <f>HYPERLINK("https://www.columbustech.edu/academics/library.cms")</f>
        <v>https://www.columbustech.edu/academics/library.cms</v>
      </c>
    </row>
    <row r="347" spans="1:8" ht="30">
      <c r="A347" s="2" t="s">
        <v>3628</v>
      </c>
      <c r="B347" s="1" t="s">
        <v>3629</v>
      </c>
      <c r="C347" s="1" t="s">
        <v>3630</v>
      </c>
      <c r="D347" s="1" t="s">
        <v>5337</v>
      </c>
      <c r="F347" s="6" t="str">
        <f>HYPERLINK("https://airbasegeorgia.org/museum/")</f>
        <v>https://airbasegeorgia.org/museum/</v>
      </c>
      <c r="G347" s="5" t="str">
        <f>HYPERLINK("https://www.facebook.com/CAFAirbaseGeorgia")</f>
        <v>https://www.facebook.com/CAFAirbaseGeorgia</v>
      </c>
      <c r="H347" s="5" t="str">
        <f>HYPERLINK("https://twitter.com/CAFDixieWing")</f>
        <v>https://twitter.com/CAFDixieWing</v>
      </c>
    </row>
    <row r="348" spans="1:6" ht="15">
      <c r="A348" s="2" t="s">
        <v>2208</v>
      </c>
      <c r="B348" s="1" t="s">
        <v>2209</v>
      </c>
      <c r="C348" s="1" t="s">
        <v>2210</v>
      </c>
      <c r="D348" s="1" t="s">
        <v>4933</v>
      </c>
      <c r="E348" s="5" t="str">
        <f>HYPERLINK("mailto:aabounader@prlib.org","aabounader@prlib.org")</f>
        <v>aabounader@prlib.org</v>
      </c>
      <c r="F348" s="6" t="str">
        <f>HYPERLINK("http://commerce.prlib.org/")</f>
        <v>http://commerce.prlib.org/</v>
      </c>
    </row>
    <row r="349" spans="1:6" ht="15">
      <c r="A349" s="2" t="s">
        <v>2551</v>
      </c>
      <c r="B349" s="1" t="s">
        <v>2209</v>
      </c>
      <c r="C349" s="1" t="s">
        <v>2552</v>
      </c>
      <c r="D349" s="1" t="s">
        <v>4933</v>
      </c>
      <c r="E349" s="5" t="str">
        <f>HYPERLINK("mailto:aabounader@prlib.org","aabounader@prlib.org")</f>
        <v>aabounader@prlib.org</v>
      </c>
      <c r="F349" s="6" t="str">
        <f>HYPERLINK("http://commerce.prlib.org/commerce-public-library-heritage-room/")</f>
        <v>http://commerce.prlib.org/commerce-public-library-heritage-room/</v>
      </c>
    </row>
    <row r="350" spans="1:7" ht="15">
      <c r="A350" s="2" t="s">
        <v>4091</v>
      </c>
      <c r="B350" s="1" t="s">
        <v>4092</v>
      </c>
      <c r="C350" s="1" t="s">
        <v>4093</v>
      </c>
      <c r="D350" s="1" t="s">
        <v>5458</v>
      </c>
      <c r="E350" s="5" t="str">
        <f>HYPERLINK("mailto:acoggin@newtoncountyarts.org","acoggin@newtoncountyarts.org")</f>
        <v>acoggin@newtoncountyarts.org</v>
      </c>
      <c r="F350" s="6" t="str">
        <f>HYPERLINK("http://www.newtoncountyarts.org")</f>
        <v>http://www.newtoncountyarts.org</v>
      </c>
      <c r="G350" s="5" t="str">
        <f>HYPERLINK("https://www.facebook.com/artsnewton")</f>
        <v>https://www.facebook.com/artsnewton</v>
      </c>
    </row>
    <row r="351" spans="1:7" ht="15">
      <c r="A351" s="2" t="s">
        <v>4094</v>
      </c>
      <c r="B351" s="1" t="s">
        <v>4095</v>
      </c>
      <c r="C351" s="1" t="s">
        <v>4096</v>
      </c>
      <c r="D351" s="1" t="s">
        <v>5459</v>
      </c>
      <c r="E351" s="5" t="str">
        <f>HYPERLINK("mailto:boyd@wondershopatl.com","boyd@wondershopatl.com")</f>
        <v>boyd@wondershopatl.com</v>
      </c>
      <c r="F351" s="6" t="str">
        <f>HYPERLINK("https://www.communityartslive.org/")</f>
        <v>https://www.communityartslive.org/</v>
      </c>
      <c r="G351" s="5" t="str">
        <f>HYPERLINK("https://www.facebook.com/GoodGraciousShow")</f>
        <v>https://www.facebook.com/GoodGraciousShow</v>
      </c>
    </row>
    <row r="352" spans="1:8" ht="15">
      <c r="A352" s="2" t="s">
        <v>7</v>
      </c>
      <c r="B352" s="1" t="s">
        <v>8</v>
      </c>
      <c r="C352" s="1" t="s">
        <v>9</v>
      </c>
      <c r="D352" s="1" t="s">
        <v>4306</v>
      </c>
      <c r="E352" s="5" t="str">
        <f>HYPERLINK("mailto:info@computermuseumofamerica.org","info@computermuseumofamerica.org")</f>
        <v>info@computermuseumofamerica.org</v>
      </c>
      <c r="F352" s="6" t="str">
        <f>HYPERLINK("https://www.computermuseumofamerica.org/")</f>
        <v>https://www.computermuseumofamerica.org/</v>
      </c>
      <c r="G352" s="5" t="str">
        <f>HYPERLINK("https://www.facebook.com/CMofA")</f>
        <v>https://www.facebook.com/CMofA</v>
      </c>
      <c r="H352" s="5" t="str">
        <f>HYPERLINK("https://twitter.com/CMoA_Atlanta")</f>
        <v>https://twitter.com/CMoA_Atlanta</v>
      </c>
    </row>
    <row r="353" spans="1:6" ht="15">
      <c r="A353" s="2" t="s">
        <v>3631</v>
      </c>
      <c r="B353" s="1" t="s">
        <v>3632</v>
      </c>
      <c r="C353" s="1" t="s">
        <v>3633</v>
      </c>
      <c r="E353" s="5" t="str">
        <f>HYPERLINK("mailto:philip.ivester@concordcoveredbridge.org","philip.ivester@concordcoveredbridge.org")</f>
        <v>philip.ivester@concordcoveredbridge.org</v>
      </c>
      <c r="F353" s="6" t="str">
        <f>HYPERLINK("https://concordcoveredbridge.org/")</f>
        <v>https://concordcoveredbridge.org/</v>
      </c>
    </row>
    <row r="354" spans="1:6" ht="15">
      <c r="A354" s="2" t="s">
        <v>3936</v>
      </c>
      <c r="B354" s="1" t="s">
        <v>3937</v>
      </c>
      <c r="C354" s="1" t="s">
        <v>3938</v>
      </c>
      <c r="F354" s="6" t="str">
        <f>HYPERLINK("https://concordcoveredbridge.org/concord-woolen-mills/")</f>
        <v>https://concordcoveredbridge.org/concord-woolen-mills/</v>
      </c>
    </row>
    <row r="355" spans="1:6" ht="15">
      <c r="A355" s="2" t="s">
        <v>357</v>
      </c>
      <c r="B355" s="1" t="s">
        <v>358</v>
      </c>
      <c r="C355" s="1" t="s">
        <v>359</v>
      </c>
      <c r="D355" s="1" t="s">
        <v>4381</v>
      </c>
      <c r="E355" s="5" t="str">
        <f>HYPERLINK("mailto:info@mickveisrael.org","info@mickveisrael.org")</f>
        <v>info@mickveisrael.org</v>
      </c>
      <c r="F355" s="6" t="str">
        <f>HYPERLINK("http://www.mickveisrael.org")</f>
        <v>http://www.mickveisrael.org</v>
      </c>
    </row>
    <row r="356" spans="1:7" ht="15">
      <c r="A356" s="2" t="s">
        <v>3543</v>
      </c>
      <c r="B356" s="1" t="s">
        <v>3544</v>
      </c>
      <c r="C356" s="1" t="s">
        <v>3545</v>
      </c>
      <c r="D356" s="1" t="s">
        <v>5313</v>
      </c>
      <c r="E356" s="5" t="str">
        <f>HYPERLINK("mailto:information@conyersarts.org","information@conyersarts.org")</f>
        <v>information@conyersarts.org</v>
      </c>
      <c r="F356" s="6" t="str">
        <f>HYPERLINK("https://conyersarts.org/")</f>
        <v>https://conyersarts.org/</v>
      </c>
      <c r="G356" s="5" t="str">
        <f>HYPERLINK("https://www.facebook.com/150350901667773")</f>
        <v>https://www.facebook.com/150350901667773</v>
      </c>
    </row>
    <row r="357" spans="1:6" ht="15">
      <c r="A357" s="2" t="s">
        <v>2553</v>
      </c>
      <c r="B357" s="1" t="s">
        <v>2554</v>
      </c>
      <c r="C357" s="1" t="s">
        <v>2555</v>
      </c>
      <c r="D357" s="1" t="s">
        <v>5031</v>
      </c>
      <c r="F357" s="6" t="str">
        <f>HYPERLINK("http://www.adelcookchamber.org/home/visitors/historical-society/")</f>
        <v>http://www.adelcookchamber.org/home/visitors/historical-society/</v>
      </c>
    </row>
    <row r="358" spans="1:6" ht="15">
      <c r="A358" s="2" t="s">
        <v>1489</v>
      </c>
      <c r="B358" s="1" t="s">
        <v>1490</v>
      </c>
      <c r="C358" s="1" t="s">
        <v>1491</v>
      </c>
      <c r="D358" s="1" t="s">
        <v>4727</v>
      </c>
      <c r="F358" s="6" t="str">
        <f>HYPERLINK("https://www.cprl.org/cook/")</f>
        <v>https://www.cprl.org/cook/</v>
      </c>
    </row>
    <row r="359" spans="1:4" ht="15">
      <c r="A359" s="2" t="s">
        <v>3634</v>
      </c>
      <c r="B359" s="1" t="s">
        <v>2554</v>
      </c>
      <c r="C359" s="1" t="s">
        <v>3635</v>
      </c>
      <c r="D359" s="1" t="s">
        <v>5031</v>
      </c>
    </row>
    <row r="360" spans="1:6" ht="15">
      <c r="A360" s="2" t="s">
        <v>1480</v>
      </c>
      <c r="B360" s="1" t="s">
        <v>1481</v>
      </c>
      <c r="C360" s="1" t="s">
        <v>1482</v>
      </c>
      <c r="D360" s="1" t="s">
        <v>4724</v>
      </c>
      <c r="F360" s="6" t="str">
        <f>HYPERLINK("http://tcpls.org/locations-hours")</f>
        <v>http://tcpls.org/locations-hours</v>
      </c>
    </row>
    <row r="361" spans="1:8" ht="15">
      <c r="A361" s="2" t="s">
        <v>18</v>
      </c>
      <c r="B361" s="1" t="s">
        <v>19</v>
      </c>
      <c r="C361" s="1" t="s">
        <v>20</v>
      </c>
      <c r="D361" s="1" t="s">
        <v>4307</v>
      </c>
      <c r="E361" s="5" t="str">
        <f>HYPERLINK("mailto:caammuseum@valdosta.edu","caammuseum@valdosta.edu")</f>
        <v>caammuseum@valdosta.edu</v>
      </c>
      <c r="F361" s="6" t="str">
        <f>HYPERLINK("https://blog.valdosta.edu/copelandmuseum/")</f>
        <v>https://blog.valdosta.edu/copelandmuseum/</v>
      </c>
      <c r="G361" s="5" t="str">
        <f>HYPERLINK("https://www.facebook.com/vsucaam")</f>
        <v>https://www.facebook.com/vsucaam</v>
      </c>
      <c r="H361" s="5" t="str">
        <f>HYPERLINK("https://twitter.com/vsucaam")</f>
        <v>https://twitter.com/vsucaam</v>
      </c>
    </row>
    <row r="362" spans="1:6" ht="15">
      <c r="A362" s="2" t="s">
        <v>1441</v>
      </c>
      <c r="B362" s="1" t="s">
        <v>1442</v>
      </c>
      <c r="C362" s="1" t="s">
        <v>1443</v>
      </c>
      <c r="D362" s="1" t="s">
        <v>4711</v>
      </c>
      <c r="F362" s="6" t="str">
        <f>HYPERLINK("https://www.lbrls.org/cordele-crisp-carnegie")</f>
        <v>https://www.lbrls.org/cordele-crisp-carnegie</v>
      </c>
    </row>
    <row r="363" spans="1:6" ht="15">
      <c r="A363" s="2" t="s">
        <v>1258</v>
      </c>
      <c r="B363" s="1" t="s">
        <v>1259</v>
      </c>
      <c r="C363" s="1" t="s">
        <v>1260</v>
      </c>
      <c r="D363" s="1" t="s">
        <v>4651</v>
      </c>
      <c r="F363" s="6" t="str">
        <f>HYPERLINK("https://cornelialibrary.org/")</f>
        <v>https://cornelialibrary.org/</v>
      </c>
    </row>
    <row r="364" spans="1:6" ht="15">
      <c r="A364" s="2" t="s">
        <v>2072</v>
      </c>
      <c r="B364" s="1" t="s">
        <v>2073</v>
      </c>
      <c r="C364" s="1" t="s">
        <v>2074</v>
      </c>
      <c r="D364" s="1" t="s">
        <v>4898</v>
      </c>
      <c r="F364" s="6" t="str">
        <f>HYPERLINK("https://dekalblibrary.org/branches/elle")</f>
        <v>https://dekalblibrary.org/branches/elle</v>
      </c>
    </row>
    <row r="365" spans="1:6" ht="15">
      <c r="A365" s="2" t="s">
        <v>1024</v>
      </c>
      <c r="B365" s="1" t="s">
        <v>1025</v>
      </c>
      <c r="C365" s="1" t="s">
        <v>1026</v>
      </c>
      <c r="D365" s="1" t="s">
        <v>4579</v>
      </c>
      <c r="F365" s="6" t="str">
        <f>HYPERLINK("https://dekalblibrary.org/branches/covi")</f>
        <v>https://dekalblibrary.org/branches/covi</v>
      </c>
    </row>
    <row r="366" spans="1:6" ht="30">
      <c r="A366" s="2" t="s">
        <v>1387</v>
      </c>
      <c r="B366" s="1" t="s">
        <v>1388</v>
      </c>
      <c r="C366" s="1" t="s">
        <v>1389</v>
      </c>
      <c r="D366" s="1" t="s">
        <v>4693</v>
      </c>
      <c r="F366" s="6" t="str">
        <f>HYPERLINK("http://newtonlibrary.org/about-your-library/branches/covington-branch-library")</f>
        <v>http://newtonlibrary.org/about-your-library/branches/covington-branch-library</v>
      </c>
    </row>
    <row r="367" spans="1:6" ht="15">
      <c r="A367" s="2" t="s">
        <v>3636</v>
      </c>
      <c r="B367" s="1" t="s">
        <v>3637</v>
      </c>
      <c r="C367" s="1" t="s">
        <v>3638</v>
      </c>
      <c r="D367" s="1" t="s">
        <v>5338</v>
      </c>
      <c r="E367" s="5" t="str">
        <f>HYPERLINK("mailto:thecowetacomuseum@yahoo.com","thecowetacomuseum@yahoo.com")</f>
        <v>thecowetacomuseum@yahoo.com</v>
      </c>
      <c r="F367" s="6" t="str">
        <f>HYPERLINK("https://thecowetacountymuseum.blogspot.com/")</f>
        <v>https://thecowetacountymuseum.blogspot.com/</v>
      </c>
    </row>
    <row r="368" spans="1:6" ht="15">
      <c r="A368" s="2" t="s">
        <v>2559</v>
      </c>
      <c r="B368" s="1" t="s">
        <v>2560</v>
      </c>
      <c r="C368" s="1" t="s">
        <v>2561</v>
      </c>
      <c r="D368" s="1" t="s">
        <v>5033</v>
      </c>
      <c r="E368" s="5" t="str">
        <f>HYPERLINK("mailto:info@ccgsinc.org","info@ccgsinc.org")</f>
        <v>info@ccgsinc.org</v>
      </c>
      <c r="F368" s="6" t="str">
        <f>HYPERLINK("http://www.ccgsinc.org/")</f>
        <v>http://www.ccgsinc.org/</v>
      </c>
    </row>
    <row r="369" spans="1:6" ht="15">
      <c r="A369" s="2" t="s">
        <v>3140</v>
      </c>
      <c r="E369" s="5" t="str">
        <f>HYPERLINK("mailto:cchs.ga2012@gmail.com","cchs.ga2012@gmail.com")</f>
        <v>cchs.ga2012@gmail.com</v>
      </c>
      <c r="F369" s="6" t="str">
        <f>HYPERLINK("http://www.crawfordcountyhistoricalsociety.org")</f>
        <v>http://www.crawfordcountyhistoricalsociety.org</v>
      </c>
    </row>
    <row r="370" spans="1:6" ht="15">
      <c r="A370" s="2" t="s">
        <v>799</v>
      </c>
      <c r="B370" s="1" t="s">
        <v>800</v>
      </c>
      <c r="C370" s="1" t="s">
        <v>801</v>
      </c>
      <c r="D370" s="1" t="s">
        <v>4505</v>
      </c>
      <c r="F370" s="6" t="str">
        <f>HYPERLINK("http://bibblib.org/locations/crawford-county-public-library/")</f>
        <v>http://bibblib.org/locations/crawford-county-public-library/</v>
      </c>
    </row>
    <row r="371" spans="1:7" ht="15">
      <c r="A371" s="2" t="s">
        <v>1767</v>
      </c>
      <c r="B371" s="1" t="s">
        <v>1768</v>
      </c>
      <c r="C371" s="1" t="s">
        <v>1769</v>
      </c>
      <c r="D371" s="1" t="s">
        <v>4801</v>
      </c>
      <c r="E371" s="5" t="str">
        <f>HYPERLINK("mailto:info@crawfordlong.org","info@crawfordlong.org")</f>
        <v>info@crawfordlong.org</v>
      </c>
      <c r="F371" s="6" t="str">
        <f>HYPERLINK("http://www.crawfordlong.org/")</f>
        <v>http://www.crawfordlong.org/</v>
      </c>
      <c r="G371" s="5" t="str">
        <f>HYPERLINK("https://www.facebook.com/crawfordlongmuseum")</f>
        <v>https://www.facebook.com/crawfordlongmuseum</v>
      </c>
    </row>
    <row r="372" spans="1:3" ht="15">
      <c r="A372" s="2" t="s">
        <v>203</v>
      </c>
      <c r="C372" s="1" t="s">
        <v>204</v>
      </c>
    </row>
    <row r="373" spans="1:6" ht="15">
      <c r="A373" s="2" t="s">
        <v>865</v>
      </c>
      <c r="B373" s="1" t="s">
        <v>866</v>
      </c>
      <c r="C373" s="1" t="s">
        <v>867</v>
      </c>
      <c r="D373" s="1" t="s">
        <v>4527</v>
      </c>
      <c r="E373" s="5" t="str">
        <f>HYPERLINK("mailto:crossroads@wgrls.org","crossroads@wgrls.org")</f>
        <v>crossroads@wgrls.org</v>
      </c>
      <c r="F373" s="6" t="str">
        <f>HYPERLINK("http://www.wgrls.org/visit/crossroads/")</f>
        <v>http://www.wgrls.org/visit/crossroads/</v>
      </c>
    </row>
    <row r="374" spans="1:6" ht="15">
      <c r="A374" s="2" t="s">
        <v>538</v>
      </c>
      <c r="B374" s="1" t="s">
        <v>539</v>
      </c>
      <c r="C374" s="1" t="s">
        <v>540</v>
      </c>
      <c r="F374" s="6" t="str">
        <f>HYPERLINK("https://www.thebreman.org/Research/Cuba-Family-Archives")</f>
        <v>https://www.thebreman.org/Research/Cuba-Family-Archives</v>
      </c>
    </row>
    <row r="375" spans="1:6" ht="15">
      <c r="A375" s="2" t="s">
        <v>3642</v>
      </c>
      <c r="E375" s="5" t="str">
        <f>HYPERLINK("mailto:cimuseumcumberlandisland@gmail.com","cimuseumcumberlandisland@gmail.com")</f>
        <v>cimuseumcumberlandisland@gmail.com</v>
      </c>
      <c r="F375" s="6" t="str">
        <f>HYPERLINK("http://www.cimuseum.org/")</f>
        <v>http://www.cimuseum.org/</v>
      </c>
    </row>
    <row r="376" spans="1:6" ht="15">
      <c r="A376" s="2" t="s">
        <v>483</v>
      </c>
      <c r="B376" s="1" t="s">
        <v>484</v>
      </c>
      <c r="C376" s="1" t="s">
        <v>485</v>
      </c>
      <c r="D376" s="1" t="s">
        <v>4305</v>
      </c>
      <c r="F376" s="6" t="str">
        <f>HYPERLINK("https://www.nps.gov/cuis/index.htm")</f>
        <v>https://www.nps.gov/cuis/index.htm</v>
      </c>
    </row>
    <row r="377" spans="1:4" ht="15">
      <c r="A377" s="2" t="s">
        <v>2</v>
      </c>
      <c r="B377" s="1" t="s">
        <v>3</v>
      </c>
      <c r="C377" s="1" t="s">
        <v>4</v>
      </c>
      <c r="D377" s="1" t="s">
        <v>4305</v>
      </c>
    </row>
    <row r="378" spans="1:7" ht="15">
      <c r="A378" s="2" t="s">
        <v>747</v>
      </c>
      <c r="B378" s="1" t="s">
        <v>292</v>
      </c>
      <c r="C378" s="1" t="s">
        <v>748</v>
      </c>
      <c r="D378" s="1" t="s">
        <v>4361</v>
      </c>
      <c r="E378" s="5" t="str">
        <f>HYPERLINK("mailto:Ask_a_Librarian@forsythpl.org","Ask_a_Librarian@forsythpl.org")</f>
        <v>Ask_a_Librarian@forsythpl.org</v>
      </c>
      <c r="F378" s="6" t="str">
        <f>HYPERLINK("https://www.forsythpl.org/cumming-library")</f>
        <v>https://www.forsythpl.org/cumming-library</v>
      </c>
      <c r="G378" s="5" t="str">
        <f>HYPERLINK("https://www.facebook.com/forsythpl")</f>
        <v>https://www.facebook.com/forsythpl</v>
      </c>
    </row>
    <row r="379" spans="1:7" ht="15">
      <c r="A379" s="2" t="s">
        <v>1770</v>
      </c>
      <c r="B379" s="1" t="s">
        <v>1771</v>
      </c>
      <c r="C379" s="1" t="s">
        <v>1772</v>
      </c>
      <c r="D379" s="1" t="s">
        <v>4802</v>
      </c>
      <c r="E379" s="5" t="str">
        <f>HYPERLINK("mailto:contact@toccoahistory.com","contact@toccoahistory.com")</f>
        <v>contact@toccoahistory.com</v>
      </c>
      <c r="F379" s="6" t="str">
        <f>HYPERLINK("https://www.toccoahistory.com/")</f>
        <v>https://www.toccoahistory.com/</v>
      </c>
      <c r="G379" s="5" t="str">
        <f>HYPERLINK("https://www.facebook.com/Currahee-Military-Museum-169022319822012")</f>
        <v>https://www.facebook.com/Currahee-Military-Museum-169022319822012</v>
      </c>
    </row>
    <row r="380" spans="1:3" ht="15">
      <c r="A380" s="2" t="s">
        <v>1384</v>
      </c>
      <c r="B380" s="1" t="s">
        <v>1385</v>
      </c>
      <c r="C380" s="1" t="s">
        <v>1386</v>
      </c>
    </row>
    <row r="381" spans="1:6" ht="15">
      <c r="A381" s="2" t="s">
        <v>1237</v>
      </c>
      <c r="B381" s="1" t="s">
        <v>1238</v>
      </c>
      <c r="C381" s="1" t="s">
        <v>1239</v>
      </c>
      <c r="D381" s="1" t="s">
        <v>4645</v>
      </c>
      <c r="F381" s="6" t="str">
        <f>HYPERLINK("https://www.gwinnettpl.org/locations-and-hours/")</f>
        <v>https://www.gwinnettpl.org/locations-and-hours/</v>
      </c>
    </row>
    <row r="382" spans="1:6" ht="15">
      <c r="A382" s="2" t="s">
        <v>2562</v>
      </c>
      <c r="D382" s="1" t="s">
        <v>5034</v>
      </c>
      <c r="E382" s="5" t="str">
        <f>HYPERLINK("mailto:dchsga@gmail.com","dchsga@gmail.com")</f>
        <v>dchsga@gmail.com</v>
      </c>
      <c r="F382" s="6" t="str">
        <f>HYPERLINK("https://dchsga.wordpress.com/")</f>
        <v>https://dchsga.wordpress.com/</v>
      </c>
    </row>
    <row r="383" spans="1:6" ht="15">
      <c r="A383" s="2" t="s">
        <v>1513</v>
      </c>
      <c r="B383" s="1" t="s">
        <v>1514</v>
      </c>
      <c r="C383" s="1" t="s">
        <v>1515</v>
      </c>
      <c r="D383" s="1" t="s">
        <v>4735</v>
      </c>
      <c r="F383" s="6" t="str">
        <f>HYPERLINK("https://www.chrl.org/dade-county-public-library/")</f>
        <v>https://www.chrl.org/dade-county-public-library/</v>
      </c>
    </row>
    <row r="384" spans="1:6" ht="15">
      <c r="A384" s="2" t="s">
        <v>486</v>
      </c>
      <c r="B384" s="1" t="s">
        <v>487</v>
      </c>
      <c r="C384" s="1" t="s">
        <v>488</v>
      </c>
      <c r="D384" s="1" t="s">
        <v>4415</v>
      </c>
      <c r="F384" s="6" t="str">
        <f>HYPERLINK("https://gastateparks.org/DahlonegaGoldMuseum")</f>
        <v>https://gastateparks.org/DahlonegaGoldMuseum</v>
      </c>
    </row>
    <row r="385" spans="1:6" ht="15">
      <c r="A385" s="2" t="s">
        <v>2563</v>
      </c>
      <c r="B385" s="1" t="s">
        <v>2564</v>
      </c>
      <c r="C385" s="1" t="s">
        <v>2565</v>
      </c>
      <c r="D385" s="1" t="s">
        <v>5035</v>
      </c>
      <c r="E385" s="5" t="str">
        <f>HYPERLINK("mailto:kherrit@dahlonega.gov","kherrit@dahlonega.gov")</f>
        <v>kherrit@dahlonega.gov</v>
      </c>
      <c r="F385" s="6" t="str">
        <f>HYPERLINK("https://dahlonega.gov/department/historic-preservation-commission/")</f>
        <v>https://dahlonega.gov/department/historic-preservation-commission/</v>
      </c>
    </row>
    <row r="386" spans="1:6" ht="15">
      <c r="A386" s="2" t="s">
        <v>2259</v>
      </c>
      <c r="B386" s="1" t="s">
        <v>2260</v>
      </c>
      <c r="C386" s="1" t="s">
        <v>2261</v>
      </c>
      <c r="D386" s="1" t="s">
        <v>4519</v>
      </c>
      <c r="E386" s="5" t="str">
        <f>HYPERLINK("mailto:amollenkamp@wgrls.org","amollenkamp@wgrls.org")</f>
        <v>amollenkamp@wgrls.org</v>
      </c>
      <c r="F386" s="6" t="str">
        <f>HYPERLINK("http://www.wgrls.org/visit/dallas/")</f>
        <v>http://www.wgrls.org/visit/dallas/</v>
      </c>
    </row>
    <row r="387" spans="1:8" ht="15">
      <c r="A387" s="2" t="s">
        <v>2566</v>
      </c>
      <c r="B387" s="1" t="s">
        <v>1738</v>
      </c>
      <c r="C387" s="1" t="s">
        <v>2567</v>
      </c>
      <c r="D387" s="1" t="s">
        <v>5036</v>
      </c>
      <c r="F387" s="6" t="str">
        <f>HYPERLINK("https://www.daltonstate.edu/library/about-roberts-library.cms")</f>
        <v>https://www.daltonstate.edu/library/about-roberts-library.cms</v>
      </c>
      <c r="G387" s="5" t="str">
        <f>HYPERLINK("https://www.facebook.com/dsrobertslibrary")</f>
        <v>https://www.facebook.com/dsrobertslibrary</v>
      </c>
      <c r="H387" s="5" t="str">
        <f>HYPERLINK("https://twitter.com/dsclibrary123")</f>
        <v>https://twitter.com/dsclibrary123</v>
      </c>
    </row>
    <row r="388" spans="1:6" ht="15">
      <c r="A388" s="2" t="s">
        <v>1525</v>
      </c>
      <c r="B388" s="1" t="s">
        <v>1526</v>
      </c>
      <c r="C388" s="1" t="s">
        <v>1527</v>
      </c>
      <c r="D388" s="1" t="s">
        <v>4739</v>
      </c>
      <c r="E388" s="5" t="str">
        <f>HYPERLINK("mailto:wyattb@ngrl.org","wyattb@ngrl.org")</f>
        <v>wyattb@ngrl.org</v>
      </c>
      <c r="F388" s="6" t="str">
        <f>HYPERLINK("https://ngrl.org/locations/dalton-whitfield/")</f>
        <v>https://ngrl.org/locations/dalton-whitfield/</v>
      </c>
    </row>
    <row r="389" spans="1:8" ht="15">
      <c r="A389" s="2" t="s">
        <v>4097</v>
      </c>
      <c r="B389" s="1" t="s">
        <v>4098</v>
      </c>
      <c r="C389" s="1" t="s">
        <v>4099</v>
      </c>
      <c r="D389" s="1" t="s">
        <v>5460</v>
      </c>
      <c r="E389" s="5" t="str">
        <f>HYPERLINK("mailto:beth@dashboard.us","beth@dashboard.us")</f>
        <v>beth@dashboard.us</v>
      </c>
      <c r="F389" s="6" t="str">
        <f>HYPERLINK("http://www.dashboard.us/")</f>
        <v>http://www.dashboard.us/</v>
      </c>
      <c r="G389" s="5" t="str">
        <f>HYPERLINK("https://www.facebook.com/DashboardUS")</f>
        <v>https://www.facebook.com/DashboardUS</v>
      </c>
      <c r="H389" s="5" t="str">
        <f>HYPERLINK("https://twitter.com/Dashboard_US")</f>
        <v>https://twitter.com/Dashboard_US</v>
      </c>
    </row>
    <row r="390" spans="1:6" ht="15">
      <c r="A390" s="2" t="s">
        <v>248</v>
      </c>
      <c r="C390" s="1" t="s">
        <v>249</v>
      </c>
      <c r="F390" s="6" t="str">
        <f>HYPERLINK("http://www.dausettrails.com/")</f>
        <v>http://www.dausettrails.com/</v>
      </c>
    </row>
    <row r="391" spans="1:6" ht="15">
      <c r="A391" s="2" t="s">
        <v>3552</v>
      </c>
      <c r="B391" s="1" t="s">
        <v>3553</v>
      </c>
      <c r="C391" s="1" t="s">
        <v>3554</v>
      </c>
      <c r="D391" s="1" t="s">
        <v>5315</v>
      </c>
      <c r="F391" s="6" t="str">
        <f>HYPERLINK("https://www.cdc.gov/museum/index.htm")</f>
        <v>https://www.cdc.gov/museum/index.htm</v>
      </c>
    </row>
    <row r="392" spans="1:7" ht="15">
      <c r="A392" s="2" t="s">
        <v>2568</v>
      </c>
      <c r="B392" s="1" t="s">
        <v>2569</v>
      </c>
      <c r="C392" s="1" t="s">
        <v>2570</v>
      </c>
      <c r="D392" s="1" t="s">
        <v>5037</v>
      </c>
      <c r="E392" s="5" t="str">
        <f>HYPERLINK("mailto:dchistory3@gmail.com","dchistory3@gmail.com")</f>
        <v>dchistory3@gmail.com</v>
      </c>
      <c r="F392" s="6" t="str">
        <f>HYPERLINK("https://www.dawsoncounty.org/hngsociety")</f>
        <v>https://www.dawsoncounty.org/hngsociety</v>
      </c>
      <c r="G392" s="5" t="str">
        <f>HYPERLINK("https://www.facebook.com/dchistory3")</f>
        <v>https://www.facebook.com/dchistory3</v>
      </c>
    </row>
    <row r="393" spans="1:6" ht="15">
      <c r="A393" s="2" t="s">
        <v>1267</v>
      </c>
      <c r="B393" s="1" t="s">
        <v>1268</v>
      </c>
      <c r="C393" s="1" t="s">
        <v>1269</v>
      </c>
      <c r="D393" s="1" t="s">
        <v>4654</v>
      </c>
      <c r="E393" s="5" t="str">
        <f>HYPERLINK("mailto:dawson@chestateelibrary.org","dawson@chestateelibrary.org")</f>
        <v>dawson@chestateelibrary.org</v>
      </c>
      <c r="F393" s="6" t="str">
        <f>HYPERLINK("https://chestateelibrary.org/library-locations/")</f>
        <v>https://chestateelibrary.org/library-locations/</v>
      </c>
    </row>
    <row r="394" spans="1:6" ht="15">
      <c r="A394" s="2" t="s">
        <v>1270</v>
      </c>
      <c r="B394" s="1" t="s">
        <v>1271</v>
      </c>
      <c r="C394" s="1" t="s">
        <v>1272</v>
      </c>
      <c r="D394" s="1" t="s">
        <v>4655</v>
      </c>
      <c r="E394" s="5" t="str">
        <f>HYPERLINK("mailto:dawson@chestateelibrary.org","dawson@chestateelibrary.org")</f>
        <v>dawson@chestateelibrary.org</v>
      </c>
      <c r="F394" s="6" t="str">
        <f>HYPERLINK("https://chestateelibrary.org/chestatee-regional-satellite-library/")</f>
        <v>https://chestateelibrary.org/chestatee-regional-satellite-library/</v>
      </c>
    </row>
    <row r="395" spans="1:6" ht="15">
      <c r="A395" s="2" t="s">
        <v>1336</v>
      </c>
      <c r="B395" s="1" t="s">
        <v>1337</v>
      </c>
      <c r="C395" s="1" t="s">
        <v>1338</v>
      </c>
      <c r="D395" s="1" t="s">
        <v>4677</v>
      </c>
      <c r="F395" s="6" t="str">
        <f>HYPERLINK("http://www.desototrail.org/headquarters-library.html")</f>
        <v>http://www.desototrail.org/headquarters-library.html</v>
      </c>
    </row>
    <row r="396" spans="1:7" ht="15">
      <c r="A396" s="2" t="s">
        <v>2268</v>
      </c>
      <c r="B396" s="1" t="s">
        <v>2269</v>
      </c>
      <c r="C396" s="1" t="s">
        <v>2270</v>
      </c>
      <c r="D396" s="1" t="s">
        <v>4950</v>
      </c>
      <c r="E396" s="5" t="str">
        <f>HYPERLINK("mailto:jbswicord@bellsouth.net","jbswicord@bellsouth.net")</f>
        <v>jbswicord@bellsouth.net</v>
      </c>
      <c r="G396" s="5" t="str">
        <f>HYPERLINK("https://www.facebook.com/DecaturCountyHistoricalAndGenealogicalSociety")</f>
        <v>https://www.facebook.com/DecaturCountyHistoricalAndGenealogicalSociety</v>
      </c>
    </row>
    <row r="397" spans="1:6" ht="15">
      <c r="A397" s="2" t="s">
        <v>325</v>
      </c>
      <c r="B397" s="1" t="s">
        <v>326</v>
      </c>
      <c r="C397" s="1" t="s">
        <v>327</v>
      </c>
      <c r="D397" s="1" t="s">
        <v>4370</v>
      </c>
      <c r="F397" s="6" t="str">
        <f>HYPERLINK("https://dekalblibrary.org/branches/deca")</f>
        <v>https://dekalblibrary.org/branches/deca</v>
      </c>
    </row>
    <row r="398" spans="1:8" ht="15">
      <c r="A398" s="2" t="s">
        <v>4100</v>
      </c>
      <c r="B398" s="1" t="s">
        <v>4101</v>
      </c>
      <c r="C398" s="1" t="s">
        <v>4102</v>
      </c>
      <c r="D398" s="1" t="s">
        <v>5461</v>
      </c>
      <c r="E398" s="5" t="str">
        <f>HYPERLINK("mailto:writewithus@deepcenter.org","writewithus@deepcenter.org")</f>
        <v>writewithus@deepcenter.org</v>
      </c>
      <c r="F398" s="6" t="str">
        <f>HYPERLINK("http://deepcenter.org")</f>
        <v>http://deepcenter.org</v>
      </c>
      <c r="G398" s="5" t="str">
        <f>HYPERLINK("https://www.facebook.com/deepcenter912")</f>
        <v>https://www.facebook.com/deepcenter912</v>
      </c>
      <c r="H398" s="5" t="str">
        <f>HYPERLINK("https://twitter.com/deepcenter912")</f>
        <v>https://twitter.com/deepcenter912</v>
      </c>
    </row>
    <row r="399" spans="1:6" ht="15">
      <c r="A399" s="2" t="s">
        <v>489</v>
      </c>
      <c r="B399" s="1" t="s">
        <v>490</v>
      </c>
      <c r="C399" s="1" t="s">
        <v>491</v>
      </c>
      <c r="F399" s="6" t="str">
        <f>HYPERLINK("https://dekalblibrary.org/")</f>
        <v>https://dekalblibrary.org/</v>
      </c>
    </row>
    <row r="400" spans="1:6" ht="15">
      <c r="A400" s="2" t="s">
        <v>1773</v>
      </c>
      <c r="B400" s="1" t="s">
        <v>1774</v>
      </c>
      <c r="C400" s="1" t="s">
        <v>1775</v>
      </c>
      <c r="D400" s="1" t="s">
        <v>4803</v>
      </c>
      <c r="E400" s="5" t="str">
        <f>HYPERLINK("mailto:director@dekalbhistory.org","director@dekalbhistory.org")</f>
        <v>director@dekalbhistory.org</v>
      </c>
      <c r="F400" s="6" t="str">
        <f>HYPERLINK("http://www.dekalbhistory.org/")</f>
        <v>http://www.dekalbhistory.org/</v>
      </c>
    </row>
    <row r="401" spans="1:6" ht="15">
      <c r="A401" s="2" t="s">
        <v>2571</v>
      </c>
      <c r="B401" s="1" t="s">
        <v>2572</v>
      </c>
      <c r="C401" s="1" t="s">
        <v>2573</v>
      </c>
      <c r="F401" s="6" t="str">
        <f>HYPERLINK("https://www.n-georgia.com/dell-goodall-house.html")</f>
        <v>https://www.n-georgia.com/dell-goodall-house.html</v>
      </c>
    </row>
    <row r="402" spans="1:6" ht="15">
      <c r="A402" s="2" t="s">
        <v>492</v>
      </c>
      <c r="B402" s="1" t="s">
        <v>493</v>
      </c>
      <c r="C402" s="1" t="s">
        <v>494</v>
      </c>
      <c r="D402" s="1" t="s">
        <v>4416</v>
      </c>
      <c r="E402" s="5" t="str">
        <f>HYPERLINK("mailto:museum.delta@delta.com","museum.delta@delta.com")</f>
        <v>museum.delta@delta.com</v>
      </c>
      <c r="F402" s="6" t="str">
        <f>HYPERLINK("http://www.deltamuseum.org")</f>
        <v>http://www.deltamuseum.org</v>
      </c>
    </row>
    <row r="403" spans="1:7" ht="15">
      <c r="A403" s="2" t="s">
        <v>2574</v>
      </c>
      <c r="B403" s="1" t="s">
        <v>2062</v>
      </c>
      <c r="C403" s="1" t="s">
        <v>2575</v>
      </c>
      <c r="E403" s="5" t="str">
        <f>HYPERLINK("mailto:chattdeltagensoc@gmail.com","chattdeltagensoc@gmail.com")</f>
        <v>chattdeltagensoc@gmail.com</v>
      </c>
      <c r="F403" s="6" t="str">
        <f>HYPERLINK("http://sites.rootsweb.com/~gadgs/index.htm")</f>
        <v>http://sites.rootsweb.com/~gadgs/index.htm</v>
      </c>
      <c r="G403" s="5" t="str">
        <f>HYPERLINK("https://www.facebook.com/ChattDeltaGenSoc")</f>
        <v>https://www.facebook.com/ChattDeltaGenSoc</v>
      </c>
    </row>
    <row r="404" spans="1:6" ht="15">
      <c r="A404" s="2" t="s">
        <v>1408</v>
      </c>
      <c r="B404" s="1" t="s">
        <v>1409</v>
      </c>
      <c r="C404" s="1" t="s">
        <v>1410</v>
      </c>
      <c r="D404" s="1" t="s">
        <v>4700</v>
      </c>
      <c r="F404" s="6" t="str">
        <f>HYPERLINK("https://arcpls.org/locations/diamond-lakes/")</f>
        <v>https://arcpls.org/locations/diamond-lakes/</v>
      </c>
    </row>
    <row r="405" spans="1:6" ht="15">
      <c r="A405" s="2" t="s">
        <v>495</v>
      </c>
      <c r="C405" s="1" t="s">
        <v>496</v>
      </c>
      <c r="D405" s="1" t="s">
        <v>4417</v>
      </c>
      <c r="F405" s="6" t="str">
        <f>HYPERLINK("https://dlg.usg.edu")</f>
        <v>https://dlg.usg.edu</v>
      </c>
    </row>
    <row r="406" spans="1:6" ht="30">
      <c r="A406" s="2" t="s">
        <v>3646</v>
      </c>
      <c r="B406" s="1" t="s">
        <v>442</v>
      </c>
      <c r="C406" s="1" t="s">
        <v>3647</v>
      </c>
      <c r="F406" s="6" t="str">
        <f>HYPERLINK("https://www.stonemountainpark.com/Activities/Attractions/Discovering-Stone-Mountain-Museum-at-Memorial-Hall")</f>
        <v>https://www.stonemountainpark.com/Activities/Attractions/Discovering-Stone-Mountain-Museum-at-Memorial-Hall</v>
      </c>
    </row>
    <row r="407" spans="1:3" ht="15">
      <c r="A407" s="2" t="s">
        <v>497</v>
      </c>
      <c r="C407" s="1" t="s">
        <v>498</v>
      </c>
    </row>
    <row r="408" spans="1:2" ht="15">
      <c r="A408" s="2" t="s">
        <v>3648</v>
      </c>
      <c r="B408" s="1" t="s">
        <v>3649</v>
      </c>
    </row>
    <row r="409" spans="1:7" ht="15">
      <c r="A409" s="2" t="s">
        <v>4103</v>
      </c>
      <c r="B409" s="1" t="s">
        <v>3942</v>
      </c>
      <c r="C409" s="1" t="s">
        <v>3943</v>
      </c>
      <c r="D409" s="1" t="s">
        <v>5462</v>
      </c>
      <c r="E409" s="5" t="str">
        <f>HYPERLINK("mailto:dodgeartsguild@gmail.com","dodgeartsguild@gmail.com")</f>
        <v>dodgeartsguild@gmail.com</v>
      </c>
      <c r="G409" s="5" t="str">
        <f>HYPERLINK("https://www.facebook.com/dodgeartsguildeastman")</f>
        <v>https://www.facebook.com/dodgeartsguildeastman</v>
      </c>
    </row>
    <row r="410" spans="1:6" ht="15">
      <c r="A410" s="2" t="s">
        <v>1096</v>
      </c>
      <c r="B410" s="1" t="s">
        <v>1097</v>
      </c>
      <c r="C410" s="1" t="s">
        <v>1098</v>
      </c>
      <c r="D410" s="1" t="s">
        <v>4603</v>
      </c>
      <c r="F410" s="6" t="str">
        <f>HYPERLINK("http://orls.org/wordpress/branches/dodge-county-library/")</f>
        <v>http://orls.org/wordpress/branches/dodge-county-library/</v>
      </c>
    </row>
    <row r="411" spans="1:7" ht="15">
      <c r="A411" s="2" t="s">
        <v>3650</v>
      </c>
      <c r="B411" s="1" t="s">
        <v>3651</v>
      </c>
      <c r="C411" s="1" t="s">
        <v>3652</v>
      </c>
      <c r="D411" s="1" t="s">
        <v>5341</v>
      </c>
      <c r="G411" s="5" t="str">
        <f>HYPERLINK("https://www.facebook.com/dodgehistoricalsociety")</f>
        <v>https://www.facebook.com/dodgehistoricalsociety</v>
      </c>
    </row>
    <row r="412" spans="1:6" ht="15">
      <c r="A412" s="2" t="s">
        <v>1009</v>
      </c>
      <c r="B412" s="1" t="s">
        <v>1010</v>
      </c>
      <c r="C412" s="1" t="s">
        <v>1011</v>
      </c>
      <c r="D412" s="1" t="s">
        <v>4574</v>
      </c>
      <c r="E412" s="5" t="str">
        <f>HYPERLINK("mailto:mccls@mccls.org","mccls@mccls.org")</f>
        <v>mccls@mccls.org</v>
      </c>
      <c r="F412" s="6" t="str">
        <f>HYPERLINK("https://www.mccls.org/about-library-2/branches/doerun-branch")</f>
        <v>https://www.mccls.org/about-library-2/branches/doerun-branch</v>
      </c>
    </row>
    <row r="413" spans="1:6" ht="15">
      <c r="A413" s="2" t="s">
        <v>868</v>
      </c>
      <c r="B413" s="1" t="s">
        <v>869</v>
      </c>
      <c r="C413" s="1" t="s">
        <v>870</v>
      </c>
      <c r="D413" s="1" t="s">
        <v>4528</v>
      </c>
      <c r="E413" s="5" t="str">
        <f>HYPERLINK("mailto:kgordon@wgrls.org","kgordon@wgrls.org")</f>
        <v>kgordon@wgrls.org</v>
      </c>
      <c r="F413" s="6" t="str">
        <f>HYPERLINK("http://www.wgrls.org/visit/dogriver/")</f>
        <v>http://www.wgrls.org/visit/dogriver/</v>
      </c>
    </row>
    <row r="414" spans="1:6" ht="15">
      <c r="A414" s="2" t="s">
        <v>1147</v>
      </c>
      <c r="B414" s="1" t="s">
        <v>1148</v>
      </c>
      <c r="C414" s="1" t="s">
        <v>1149</v>
      </c>
      <c r="D414" s="1" t="s">
        <v>4619</v>
      </c>
      <c r="F414" s="6" t="str">
        <f>HYPERLINK("http://www.afpls.org/dogwood-branch")</f>
        <v>http://www.afpls.org/dogwood-branch</v>
      </c>
    </row>
    <row r="415" spans="1:6" ht="15">
      <c r="A415" s="2" t="s">
        <v>1450</v>
      </c>
      <c r="B415" s="1" t="s">
        <v>1451</v>
      </c>
      <c r="C415" s="1" t="s">
        <v>1452</v>
      </c>
      <c r="D415" s="1" t="s">
        <v>4714</v>
      </c>
      <c r="F415" s="6" t="str">
        <f>HYPERLINK("https://www.lbrls.org/dooly-county")</f>
        <v>https://www.lbrls.org/dooly-county</v>
      </c>
    </row>
    <row r="416" spans="1:6" ht="15">
      <c r="A416" s="2" t="s">
        <v>1036</v>
      </c>
      <c r="B416" s="1" t="s">
        <v>1037</v>
      </c>
      <c r="C416" s="1" t="s">
        <v>1038</v>
      </c>
      <c r="D416" s="1" t="s">
        <v>4583</v>
      </c>
      <c r="F416" s="6" t="str">
        <f>HYPERLINK("https://dekalblibrary.org/branches/dora")</f>
        <v>https://dekalblibrary.org/branches/dora</v>
      </c>
    </row>
    <row r="417" spans="1:6" ht="15">
      <c r="A417" s="2" t="s">
        <v>499</v>
      </c>
      <c r="B417" s="1" t="s">
        <v>500</v>
      </c>
      <c r="C417" s="1" t="s">
        <v>501</v>
      </c>
      <c r="D417" s="1" t="s">
        <v>4418</v>
      </c>
      <c r="F417" s="6" t="str">
        <f>HYPERLINK("https://dorchesteracademyia.org/")</f>
        <v>https://dorchesteracademyia.org/</v>
      </c>
    </row>
    <row r="418" spans="1:6" ht="30">
      <c r="A418" s="2" t="s">
        <v>3181</v>
      </c>
      <c r="B418" s="1" t="s">
        <v>3182</v>
      </c>
      <c r="C418" s="1" t="s">
        <v>3183</v>
      </c>
      <c r="E418" s="5" t="str">
        <f>HYPERLINK("mailto:library@gordonstate.edu","library@gordonstate.edu")</f>
        <v>library@gordonstate.edu</v>
      </c>
      <c r="F418" s="6" t="str">
        <f>HYPERLINK("https://www.gordonstate.edu/departments/library/index.html")</f>
        <v>https://www.gordonstate.edu/departments/library/index.html</v>
      </c>
    </row>
    <row r="419" spans="1:7" ht="15">
      <c r="A419" s="2" t="s">
        <v>80</v>
      </c>
      <c r="B419" s="1" t="s">
        <v>81</v>
      </c>
      <c r="C419" s="1" t="s">
        <v>82</v>
      </c>
      <c r="D419" s="1" t="s">
        <v>4313</v>
      </c>
      <c r="F419" s="6" t="str">
        <f>HYPERLINK("https://www.dougsandersmuseum.com/")</f>
        <v>https://www.dougsandersmuseum.com/</v>
      </c>
      <c r="G419" s="5" t="str">
        <f>HYPERLINK("https://www.facebook.com/dougsandersgolfmuseum")</f>
        <v>https://www.facebook.com/dougsandersgolfmuseum</v>
      </c>
    </row>
    <row r="420" spans="1:6" ht="15">
      <c r="A420" s="2" t="s">
        <v>2576</v>
      </c>
      <c r="E420" s="5" t="str">
        <f>HYPERLINK("mailto:president@douglascountygensoc.org","president@douglascountygensoc.org")</f>
        <v>president@douglascountygensoc.org</v>
      </c>
      <c r="F420" s="6" t="str">
        <f>HYPERLINK("https://www.douglascountygensoc.org/index.html")</f>
        <v>https://www.douglascountygensoc.org/index.html</v>
      </c>
    </row>
    <row r="421" spans="1:7" ht="30">
      <c r="A421" s="2" t="s">
        <v>1776</v>
      </c>
      <c r="B421" s="1" t="s">
        <v>1777</v>
      </c>
      <c r="C421" s="1" t="s">
        <v>1778</v>
      </c>
      <c r="D421" s="1" t="s">
        <v>4804</v>
      </c>
      <c r="E421" s="5" t="str">
        <f>HYPERLINK("mailto:dcmuseumofhistoryandart@gmail.com","dcmuseumofhistoryandart@gmail.com")</f>
        <v>dcmuseumofhistoryandart@gmail.com</v>
      </c>
      <c r="F421" s="6" t="str">
        <f>HYPERLINK("http://www.celebratedouglascounty.com/view/programs/view_prog/&amp;cdept=185&amp;department=douglas+county+museum+of+history+and+art")</f>
        <v>http://www.celebratedouglascounty.com/view/programs/view_prog/&amp;cdept=185&amp;department=douglas+county+museum+of+history+and+art</v>
      </c>
      <c r="G421" s="5" t="str">
        <f>HYPERLINK("https://www.facebook.com/DouglasCountyMuseumOfHistoryAndArt")</f>
        <v>https://www.facebook.com/DouglasCountyMuseumOfHistoryAndArt</v>
      </c>
    </row>
    <row r="422" spans="1:6" ht="15">
      <c r="A422" s="2" t="s">
        <v>820</v>
      </c>
      <c r="B422" s="1" t="s">
        <v>821</v>
      </c>
      <c r="C422" s="1" t="s">
        <v>822</v>
      </c>
      <c r="D422" s="1" t="s">
        <v>4512</v>
      </c>
      <c r="E422" s="5" t="str">
        <f>HYPERLINK("mailto:jhernandez@wgrls.org","jhernandez@wgrls.org")</f>
        <v>jhernandez@wgrls.org</v>
      </c>
      <c r="F422" s="6" t="str">
        <f>HYPERLINK("http://www.wgrls.org/visit/douglasville/")</f>
        <v>http://www.wgrls.org/visit/douglasville/</v>
      </c>
    </row>
    <row r="423" spans="1:6" ht="30">
      <c r="A423" s="2" t="s">
        <v>3082</v>
      </c>
      <c r="B423" s="1" t="s">
        <v>3083</v>
      </c>
      <c r="C423" s="1" t="s">
        <v>3084</v>
      </c>
      <c r="D423" s="1" t="s">
        <v>5188</v>
      </c>
      <c r="F423" s="6" t="str">
        <f>HYPERLINK("https://libraries.mercer.edu/about-us/about-rac/douglas-county")</f>
        <v>https://libraries.mercer.edu/about-us/about-rac/douglas-county</v>
      </c>
    </row>
    <row r="424" spans="1:6" ht="15">
      <c r="A424" s="2" t="s">
        <v>985</v>
      </c>
      <c r="B424" s="1" t="s">
        <v>986</v>
      </c>
      <c r="C424" s="1" t="s">
        <v>987</v>
      </c>
      <c r="D424" s="1" t="s">
        <v>4567</v>
      </c>
      <c r="E424" s="5" t="str">
        <f>HYPERLINK("mailto:douglib@srlsys.org","douglib@srlsys.org")</f>
        <v>douglib@srlsys.org</v>
      </c>
      <c r="F424" s="6" t="str">
        <f>HYPERLINK("http://srlsys.org/douglas-coffee-county-public-library/")</f>
        <v>http://srlsys.org/douglas-coffee-county-public-library/</v>
      </c>
    </row>
    <row r="425" spans="1:6" ht="15">
      <c r="A425" s="2" t="s">
        <v>1195</v>
      </c>
      <c r="B425" s="1" t="s">
        <v>1196</v>
      </c>
      <c r="C425" s="1" t="s">
        <v>1197</v>
      </c>
      <c r="D425" s="1" t="s">
        <v>4635</v>
      </c>
      <c r="F425" s="6" t="str">
        <f>HYPERLINK("http://afpls.org/ocee-branch6")</f>
        <v>http://afpls.org/ocee-branch6</v>
      </c>
    </row>
    <row r="426" spans="1:8" ht="15">
      <c r="A426" s="2" t="s">
        <v>4104</v>
      </c>
      <c r="B426" s="1" t="s">
        <v>4105</v>
      </c>
      <c r="C426" s="1" t="s">
        <v>4106</v>
      </c>
      <c r="D426" s="1" t="s">
        <v>5463</v>
      </c>
      <c r="E426" s="5" t="str">
        <f>HYPERLINK("mailto:info@drawchange.org","info@drawchange.org")</f>
        <v>info@drawchange.org</v>
      </c>
      <c r="F426" s="6" t="str">
        <f>HYPERLINK("https://www.drawchange.org/")</f>
        <v>https://www.drawchange.org/</v>
      </c>
      <c r="G426" s="5" t="str">
        <f>HYPERLINK("https://www.facebook.com/drawchange")</f>
        <v>https://www.facebook.com/drawchange</v>
      </c>
      <c r="H426" s="5" t="str">
        <f>HYPERLINK("https://twitter.com/drawchange")</f>
        <v>https://twitter.com/drawchange</v>
      </c>
    </row>
    <row r="427" spans="1:6" ht="15">
      <c r="A427" s="2" t="s">
        <v>3249</v>
      </c>
      <c r="B427" s="1" t="s">
        <v>3250</v>
      </c>
      <c r="C427" s="1" t="s">
        <v>3251</v>
      </c>
      <c r="D427" s="1" t="s">
        <v>5234</v>
      </c>
      <c r="E427" s="5" t="str">
        <f>HYPERLINK("mailto:Library@LIFE.edu","Library@LIFE.edu")</f>
        <v>Library@LIFE.edu</v>
      </c>
      <c r="F427" s="6" t="str">
        <f>HYPERLINK("https://www.life.edu/campus-life-pages/sid-and-nell-williams-library/")</f>
        <v>https://www.life.edu/campus-life-pages/sid-and-nell-williams-library/</v>
      </c>
    </row>
    <row r="428" spans="1:6" ht="15">
      <c r="A428" s="2" t="s">
        <v>2577</v>
      </c>
      <c r="B428" s="1" t="s">
        <v>2578</v>
      </c>
      <c r="C428" s="1" t="s">
        <v>2579</v>
      </c>
      <c r="D428" s="1" t="s">
        <v>4989</v>
      </c>
      <c r="E428" s="5" t="str">
        <f>HYPERLINK("mailto:info@andersonvillegeorgia.info","info@andersonvillegeorgia.info")</f>
        <v>info@andersonvillegeorgia.info</v>
      </c>
      <c r="F428" s="6" t="str">
        <f>HYPERLINK("https://www.andersonvillegeorgia.info/the-museum.html")</f>
        <v>https://www.andersonvillegeorgia.info/the-museum.html</v>
      </c>
    </row>
    <row r="429" spans="1:6" ht="15">
      <c r="A429" s="2" t="s">
        <v>4107</v>
      </c>
      <c r="D429" s="1" t="s">
        <v>5464</v>
      </c>
      <c r="E429" s="5" t="str">
        <f>HYPERLINK("mailto:info@dublin-laurensartscouncil.com","info@dublin-laurensartscouncil.com")</f>
        <v>info@dublin-laurensartscouncil.com</v>
      </c>
      <c r="F429" s="6" t="str">
        <f>HYPERLINK("https://www.dublin-laurensartscouncil.com/")</f>
        <v>https://www.dublin-laurensartscouncil.com/</v>
      </c>
    </row>
    <row r="430" spans="1:7" ht="15">
      <c r="A430" s="2" t="s">
        <v>1696</v>
      </c>
      <c r="B430" s="1" t="s">
        <v>1697</v>
      </c>
      <c r="C430" s="1" t="s">
        <v>1698</v>
      </c>
      <c r="D430" s="1" t="s">
        <v>4783</v>
      </c>
      <c r="F430" s="6" t="str">
        <f>HYPERLINK("http://www.laurenshistory.org/")</f>
        <v>http://www.laurenshistory.org/</v>
      </c>
      <c r="G430" s="5" t="str">
        <f>HYPERLINK("https://www.facebook.com/Dublin-Laurens-Museum-and-Cultural-Center-1565093483779458")</f>
        <v>https://www.facebook.com/Dublin-Laurens-Museum-and-Cultural-Center-1565093483779458</v>
      </c>
    </row>
    <row r="431" spans="1:6" ht="15">
      <c r="A431" s="2" t="s">
        <v>2873</v>
      </c>
      <c r="B431" s="1" t="s">
        <v>1286</v>
      </c>
      <c r="C431" s="1" t="s">
        <v>2874</v>
      </c>
      <c r="D431" s="1" t="s">
        <v>4660</v>
      </c>
      <c r="E431" s="5" t="str">
        <f>HYPERLINK("mailto:heritage@ocrl.org","heritage@ocrl.org")</f>
        <v>heritage@ocrl.org</v>
      </c>
      <c r="F431" s="6" t="str">
        <f>HYPERLINK("http://www.ocrl.org/lc-heritage")</f>
        <v>http://www.ocrl.org/lc-heritage</v>
      </c>
    </row>
    <row r="432" spans="1:6" ht="15">
      <c r="A432" s="2" t="s">
        <v>2106</v>
      </c>
      <c r="B432" s="1" t="s">
        <v>2107</v>
      </c>
      <c r="C432" s="1" t="s">
        <v>2108</v>
      </c>
      <c r="D432" s="1" t="s">
        <v>4645</v>
      </c>
      <c r="F432" s="6" t="str">
        <f>HYPERLINK("https://www.gwinnettpl.org/locations-and-hours/")</f>
        <v>https://www.gwinnettpl.org/locations-and-hours/</v>
      </c>
    </row>
    <row r="433" spans="1:6" ht="15">
      <c r="A433" s="2" t="s">
        <v>2580</v>
      </c>
      <c r="B433" s="1" t="s">
        <v>1968</v>
      </c>
      <c r="C433" s="1" t="s">
        <v>1969</v>
      </c>
      <c r="D433" s="1" t="s">
        <v>5038</v>
      </c>
      <c r="E433" s="5" t="str">
        <f>HYPERLINK("mailto:info@duluthhistoricalsociety.org","info@duluthhistoricalsociety.org")</f>
        <v>info@duluthhistoricalsociety.org</v>
      </c>
      <c r="F433" s="6" t="str">
        <f>HYPERLINK("https://www.duluthhistoricalsociety.org/")</f>
        <v>https://www.duluthhistoricalsociety.org/</v>
      </c>
    </row>
    <row r="434" spans="1:6" ht="15">
      <c r="A434" s="2" t="s">
        <v>1030</v>
      </c>
      <c r="B434" s="1" t="s">
        <v>1031</v>
      </c>
      <c r="C434" s="1" t="s">
        <v>1032</v>
      </c>
      <c r="D434" s="1" t="s">
        <v>4581</v>
      </c>
      <c r="F434" s="6" t="str">
        <f>HYPERLINK("https://dekalblibrary.org/branches/dunw")</f>
        <v>https://dekalblibrary.org/branches/dunw</v>
      </c>
    </row>
    <row r="435" spans="1:8" ht="15">
      <c r="A435" s="2" t="s">
        <v>4108</v>
      </c>
      <c r="B435" s="1" t="s">
        <v>4109</v>
      </c>
      <c r="C435" s="1" t="s">
        <v>4110</v>
      </c>
      <c r="D435" s="1" t="s">
        <v>5465</v>
      </c>
      <c r="E435" s="5" t="str">
        <f>HYPERLINK("mailto:info@dunwoodynature.org","info@dunwoodynature.org")</f>
        <v>info@dunwoodynature.org</v>
      </c>
      <c r="F435" s="6" t="str">
        <f>HYPERLINK("https://dunwoodynature.org/")</f>
        <v>https://dunwoodynature.org/</v>
      </c>
      <c r="G435" s="5" t="str">
        <f>HYPERLINK("https://www.facebook.com/DunwoodyNature")</f>
        <v>https://www.facebook.com/DunwoodyNature</v>
      </c>
      <c r="H435" s="5" t="str">
        <f>HYPERLINK("https://twitter.com/DunwoodyNature")</f>
        <v>https://twitter.com/DunwoodyNature</v>
      </c>
    </row>
    <row r="436" spans="1:7" ht="15">
      <c r="A436" s="2" t="s">
        <v>2581</v>
      </c>
      <c r="B436" s="1" t="s">
        <v>2582</v>
      </c>
      <c r="C436" s="1" t="s">
        <v>2583</v>
      </c>
      <c r="D436" s="1" t="s">
        <v>5039</v>
      </c>
      <c r="E436" s="5" t="str">
        <f>HYPERLINK("mailto:welcomecenter@oconee.ga.us","welcomecenter@oconee.ga.us")</f>
        <v>welcomecenter@oconee.ga.us</v>
      </c>
      <c r="F436" s="6" t="str">
        <f>HYPERLINK("http://visitoconee.com/eagletavern/")</f>
        <v>http://visitoconee.com/eagletavern/</v>
      </c>
      <c r="G436" s="5" t="str">
        <f>HYPERLINK("https://www.facebook.com/EagleTavernMuseum")</f>
        <v>https://www.facebook.com/EagleTavernMuseum</v>
      </c>
    </row>
    <row r="437" spans="1:4" ht="15">
      <c r="A437" s="2" t="s">
        <v>2584</v>
      </c>
      <c r="D437" s="1" t="s">
        <v>5040</v>
      </c>
    </row>
    <row r="438" spans="1:6" ht="15">
      <c r="A438" s="2" t="s">
        <v>2585</v>
      </c>
      <c r="B438" s="1" t="s">
        <v>2586</v>
      </c>
      <c r="C438" s="1" t="s">
        <v>2587</v>
      </c>
      <c r="D438" s="1" t="s">
        <v>5041</v>
      </c>
      <c r="E438" s="5" t="str">
        <f>HYPERLINK("mailto:ecm@earlycountymuseum.com","ecm@earlycountymuseum.com")</f>
        <v>ecm@earlycountymuseum.com</v>
      </c>
      <c r="F438" s="6" t="str">
        <f>HYPERLINK("http://www.earlycountymuseum.com/")</f>
        <v>http://www.earlycountymuseum.com/</v>
      </c>
    </row>
    <row r="439" spans="1:6" ht="15">
      <c r="A439" s="2" t="s">
        <v>928</v>
      </c>
      <c r="B439" s="1" t="s">
        <v>929</v>
      </c>
      <c r="C439" s="1" t="s">
        <v>930</v>
      </c>
      <c r="D439" s="1" t="s">
        <v>4548</v>
      </c>
      <c r="F439" s="6" t="str">
        <f>HYPERLINK("http://www.athenslibrary.org/eastathens")</f>
        <v>http://www.athenslibrary.org/eastathens</v>
      </c>
    </row>
    <row r="440" spans="1:6" ht="15">
      <c r="A440" s="2" t="s">
        <v>1150</v>
      </c>
      <c r="B440" s="1" t="s">
        <v>1151</v>
      </c>
      <c r="C440" s="1" t="s">
        <v>1152</v>
      </c>
      <c r="D440" s="1" t="s">
        <v>4620</v>
      </c>
      <c r="F440" s="6" t="str">
        <f>HYPERLINK("http://www.afpls.org/east-atlanta-branch")</f>
        <v>http://www.afpls.org/east-atlanta-branch</v>
      </c>
    </row>
    <row r="441" spans="1:6" ht="15">
      <c r="A441" s="2" t="s">
        <v>982</v>
      </c>
      <c r="B441" s="1" t="s">
        <v>983</v>
      </c>
      <c r="C441" s="1" t="s">
        <v>984</v>
      </c>
      <c r="D441" s="1" t="s">
        <v>4566</v>
      </c>
      <c r="F441" s="6" t="str">
        <f>HYPERLINK("http://www.cobbcat.org/venue/east-cobb-library/")</f>
        <v>http://www.cobbcat.org/venue/east-cobb-library/</v>
      </c>
    </row>
    <row r="442" spans="1:6" ht="15">
      <c r="A442" s="2" t="s">
        <v>2597</v>
      </c>
      <c r="E442" s="5" t="str">
        <f>HYPERLINK("mailto:gaeggs@yahoo.com","gaeggs@yahoo.com")</f>
        <v>gaeggs@yahoo.com</v>
      </c>
      <c r="F442" s="6" t="str">
        <f>HYPERLINK("http://www.rootsweb.com/~gaeggs/")</f>
        <v>http://www.rootsweb.com/~gaeggs/</v>
      </c>
    </row>
    <row r="443" spans="1:6" ht="15">
      <c r="A443" s="2" t="s">
        <v>2594</v>
      </c>
      <c r="B443" s="1" t="s">
        <v>2595</v>
      </c>
      <c r="C443" s="1" t="s">
        <v>2596</v>
      </c>
      <c r="D443" s="1" t="s">
        <v>5044</v>
      </c>
      <c r="E443" s="5" t="str">
        <f>HYPERLINK("mailto:library@ega.edu","library@ega.edu")</f>
        <v>library@ega.edu</v>
      </c>
      <c r="F443" s="6" t="str">
        <f>HYPERLINK("https://ega.libguides.com/home")</f>
        <v>https://ega.libguides.com/home</v>
      </c>
    </row>
    <row r="444" spans="1:6" ht="15">
      <c r="A444" s="2" t="s">
        <v>462</v>
      </c>
      <c r="B444" s="1" t="s">
        <v>463</v>
      </c>
      <c r="C444" s="1" t="s">
        <v>464</v>
      </c>
      <c r="D444" s="1" t="s">
        <v>4411</v>
      </c>
      <c r="E444" s="5" t="str">
        <f>HYPERLINK("mailto:jonesc@liveoakpl.org","jonesc@liveoakpl.org")</f>
        <v>jonesc@liveoakpl.org</v>
      </c>
      <c r="F444" s="6" t="str">
        <f>HYPERLINK("https://liveoakpl.org/locations/carnegie")</f>
        <v>https://liveoakpl.org/locations/carnegie</v>
      </c>
    </row>
    <row r="445" spans="1:4" ht="15">
      <c r="A445" s="2" t="s">
        <v>952</v>
      </c>
      <c r="B445" s="1" t="s">
        <v>953</v>
      </c>
      <c r="C445" s="1" t="s">
        <v>954</v>
      </c>
      <c r="D445" s="1" t="s">
        <v>4556</v>
      </c>
    </row>
    <row r="446" spans="1:6" ht="15">
      <c r="A446" s="2" t="s">
        <v>1180</v>
      </c>
      <c r="B446" s="1" t="s">
        <v>1181</v>
      </c>
      <c r="C446" s="1" t="s">
        <v>1182</v>
      </c>
      <c r="D446" s="1" t="s">
        <v>4630</v>
      </c>
      <c r="F446" s="6" t="str">
        <f>HYPERLINK("http://www.afpls.org/east-point-branch")</f>
        <v>http://www.afpls.org/east-point-branch</v>
      </c>
    </row>
    <row r="447" spans="1:6" ht="15">
      <c r="A447" s="2" t="s">
        <v>2598</v>
      </c>
      <c r="B447" s="1" t="s">
        <v>2599</v>
      </c>
      <c r="C447" s="1" t="s">
        <v>2600</v>
      </c>
      <c r="D447" s="1" t="s">
        <v>5045</v>
      </c>
      <c r="E447" s="5" t="str">
        <f>HYPERLINK("mailto:ephs@bellsouth.net","ephs@bellsouth.net")</f>
        <v>ephs@bellsouth.net</v>
      </c>
      <c r="F447" s="6" t="str">
        <f>HYPERLINK("http://www.eastpoinths.org/")</f>
        <v>http://www.eastpoinths.org/</v>
      </c>
    </row>
    <row r="448" spans="1:6" ht="15">
      <c r="A448" s="2" t="s">
        <v>1198</v>
      </c>
      <c r="B448" s="1" t="s">
        <v>1199</v>
      </c>
      <c r="C448" s="1" t="s">
        <v>1200</v>
      </c>
      <c r="D448" s="1" t="s">
        <v>4636</v>
      </c>
      <c r="F448" s="6" t="str">
        <f>HYPERLINK("http://www.afpls.org/locations/locations2/1429-east-roswell-branch")</f>
        <v>http://www.afpls.org/locations/locations2/1429-east-roswell-branch</v>
      </c>
    </row>
    <row r="449" spans="1:6" ht="15">
      <c r="A449" s="2" t="s">
        <v>811</v>
      </c>
      <c r="B449" s="1" t="s">
        <v>812</v>
      </c>
      <c r="C449" s="1" t="s">
        <v>813</v>
      </c>
      <c r="D449" s="1" t="s">
        <v>4509</v>
      </c>
      <c r="F449" s="6" t="str">
        <f>HYPERLINK("http://bibblib.org/locations/east-wilkinson-county-public-library/")</f>
        <v>http://bibblib.org/locations/east-wilkinson-county-public-library/</v>
      </c>
    </row>
    <row r="450" spans="1:6" ht="15">
      <c r="A450" s="2" t="s">
        <v>2601</v>
      </c>
      <c r="B450" s="1" t="s">
        <v>2602</v>
      </c>
      <c r="C450" s="1" t="s">
        <v>2603</v>
      </c>
      <c r="F450" s="6" t="str">
        <f>HYPERLINK("http://www.e-pgahistory.org/")</f>
        <v>http://www.e-pgahistory.org/</v>
      </c>
    </row>
    <row r="451" spans="1:6" ht="15">
      <c r="A451" s="2" t="s">
        <v>1357</v>
      </c>
      <c r="B451" s="1" t="s">
        <v>1358</v>
      </c>
      <c r="C451" s="1" t="s">
        <v>1359</v>
      </c>
      <c r="D451" s="1" t="s">
        <v>4684</v>
      </c>
      <c r="E451" s="5" t="str">
        <f>HYPERLINK("mailto:moira@uncleremus.org","moira@uncleremus.org")</f>
        <v>moira@uncleremus.org</v>
      </c>
      <c r="F451" s="6" t="str">
        <f>HYPERLINK("http://azalealibraries.org/putnam.htm")</f>
        <v>http://azalealibraries.org/putnam.htm</v>
      </c>
    </row>
    <row r="452" spans="1:7" ht="15">
      <c r="A452" s="2" t="s">
        <v>3455</v>
      </c>
      <c r="B452" s="1" t="s">
        <v>3456</v>
      </c>
      <c r="C452" s="1" t="s">
        <v>3457</v>
      </c>
      <c r="D452" s="1" t="s">
        <v>5295</v>
      </c>
      <c r="E452" s="5" t="str">
        <f>HYPERLINK("mailto:billrobertsmdc@aol.com","billrobertsmdc@aol.com")</f>
        <v>billrobertsmdc@aol.com</v>
      </c>
      <c r="G452" s="5" t="str">
        <f>HYPERLINK("https://www.facebook.com/EcholsCountyHistoricalSociety")</f>
        <v>https://www.facebook.com/EcholsCountyHistoricalSociety</v>
      </c>
    </row>
    <row r="453" spans="1:6" ht="15">
      <c r="A453" s="2" t="s">
        <v>3653</v>
      </c>
      <c r="B453" s="1" t="s">
        <v>3654</v>
      </c>
      <c r="C453" s="1" t="s">
        <v>3655</v>
      </c>
      <c r="D453" s="1" t="s">
        <v>5342</v>
      </c>
      <c r="E453" s="5" t="str">
        <f>HYPERLINK("mailto:support@8thafhs.org","support@8thafhs.org")</f>
        <v>support@8thafhs.org</v>
      </c>
      <c r="F453" s="6" t="str">
        <f>HYPERLINK("http://www.8thafhs.org/")</f>
        <v>http://www.8thafhs.org/</v>
      </c>
    </row>
    <row r="454" spans="1:6" ht="15">
      <c r="A454" s="2" t="s">
        <v>1779</v>
      </c>
      <c r="B454" s="1" t="s">
        <v>1780</v>
      </c>
      <c r="C454" s="1" t="s">
        <v>1781</v>
      </c>
      <c r="D454" s="1" t="s">
        <v>4805</v>
      </c>
      <c r="E454" s="5" t="str">
        <f>HYPERLINK("mailto:elachee@elachee.org","elachee@elachee.org")</f>
        <v>elachee@elachee.org</v>
      </c>
      <c r="F454" s="6" t="str">
        <f>HYPERLINK("http://www.elachee.org")</f>
        <v>http://www.elachee.org</v>
      </c>
    </row>
    <row r="455" spans="1:6" ht="45">
      <c r="A455" s="2" t="s">
        <v>2604</v>
      </c>
      <c r="B455" s="1" t="s">
        <v>2605</v>
      </c>
      <c r="C455" s="1" t="s">
        <v>2606</v>
      </c>
      <c r="D455" s="1" t="s">
        <v>5046</v>
      </c>
      <c r="F455" s="6" t="str">
        <f>HYPERLINK("https://nearme.elberton.com/local-business/category/Arts-and-Entertainment/Arts-and-Entertainment-Elberton-Georgia-Elbert-County-Historical-Society")</f>
        <v>https://nearme.elberton.com/local-business/category/Arts-and-Entertainment/Arts-and-Entertainment-Elberton-Georgia-Elbert-County-Historical-Society</v>
      </c>
    </row>
    <row r="456" spans="1:4" ht="15">
      <c r="A456" s="2" t="s">
        <v>1111</v>
      </c>
      <c r="B456" s="1" t="s">
        <v>1112</v>
      </c>
      <c r="C456" s="1" t="s">
        <v>1113</v>
      </c>
      <c r="D456" s="1" t="s">
        <v>4372</v>
      </c>
    </row>
    <row r="457" spans="1:6" ht="15">
      <c r="A457" s="2" t="s">
        <v>331</v>
      </c>
      <c r="B457" s="1" t="s">
        <v>1112</v>
      </c>
      <c r="C457" s="1" t="s">
        <v>332</v>
      </c>
      <c r="D457" s="1" t="s">
        <v>4372</v>
      </c>
      <c r="F457" s="6" t="str">
        <f>HYPERLINK("https://elbertlibrary.org/")</f>
        <v>https://elbertlibrary.org/</v>
      </c>
    </row>
    <row r="458" spans="1:6" ht="15">
      <c r="A458" s="2" t="s">
        <v>1782</v>
      </c>
      <c r="B458" s="1" t="s">
        <v>1783</v>
      </c>
      <c r="C458" s="1" t="s">
        <v>1784</v>
      </c>
      <c r="D458" s="1" t="s">
        <v>4806</v>
      </c>
      <c r="E458" s="5" t="str">
        <f>HYPERLINK("mailto:granite@egaonline.com","granite@egaonline.com")</f>
        <v>granite@egaonline.com</v>
      </c>
      <c r="F458" s="6" t="str">
        <f>HYPERLINK("https://egaonline.com/learn/elberton-granite-museum")</f>
        <v>https://egaonline.com/learn/elberton-granite-museum</v>
      </c>
    </row>
    <row r="459" spans="1:3" ht="15">
      <c r="A459" s="2" t="s">
        <v>24</v>
      </c>
      <c r="B459" s="1" t="s">
        <v>25</v>
      </c>
      <c r="C459" s="1" t="s">
        <v>26</v>
      </c>
    </row>
    <row r="460" spans="1:6" ht="15">
      <c r="A460" s="2" t="s">
        <v>2607</v>
      </c>
      <c r="B460" s="1" t="s">
        <v>2608</v>
      </c>
      <c r="C460" s="1" t="s">
        <v>2609</v>
      </c>
      <c r="D460" s="1" t="s">
        <v>5047</v>
      </c>
      <c r="E460" s="5" t="str">
        <f>HYPERLINK("mailto:Wanda_Lamar@ca11.uscourts.gov","Wanda_Lamar@ca11.uscourts.gov")</f>
        <v>Wanda_Lamar@ca11.uscourts.gov</v>
      </c>
      <c r="F460" s="6" t="str">
        <f>HYPERLINK("https://sites.google.com/site/circuit11history/")</f>
        <v>https://sites.google.com/site/circuit11history/</v>
      </c>
    </row>
    <row r="461" spans="1:6" ht="15">
      <c r="A461" s="2" t="s">
        <v>2610</v>
      </c>
      <c r="B461" s="1" t="s">
        <v>2611</v>
      </c>
      <c r="C461" s="1" t="s">
        <v>2612</v>
      </c>
      <c r="D461" s="1" t="s">
        <v>5048</v>
      </c>
      <c r="F461" s="6" t="str">
        <f>HYPERLINK("https://gastateparks.org/ElijahClark")</f>
        <v>https://gastateparks.org/ElijahClark</v>
      </c>
    </row>
    <row r="462" spans="1:6" ht="15">
      <c r="A462" s="2" t="s">
        <v>1447</v>
      </c>
      <c r="B462" s="1" t="s">
        <v>1448</v>
      </c>
      <c r="C462" s="1" t="s">
        <v>1449</v>
      </c>
      <c r="D462" s="1" t="s">
        <v>4713</v>
      </c>
      <c r="F462" s="6" t="str">
        <f>HYPERLINK("https://www.lbrls.org/elizabeth-harris")</f>
        <v>https://www.lbrls.org/elizabeth-harris</v>
      </c>
    </row>
    <row r="463" spans="1:3" ht="15">
      <c r="A463" s="2" t="s">
        <v>619</v>
      </c>
      <c r="C463" s="1" t="s">
        <v>620</v>
      </c>
    </row>
    <row r="464" spans="1:6" ht="15">
      <c r="A464" s="2" t="s">
        <v>2939</v>
      </c>
      <c r="D464" s="1" t="s">
        <v>5148</v>
      </c>
      <c r="F464" s="6" t="str">
        <f>HYPERLINK("http://www.ellavilleschleycountyhistory.com/")</f>
        <v>http://www.ellavilleschleycountyhistory.com/</v>
      </c>
    </row>
    <row r="465" spans="1:6" ht="15">
      <c r="A465" s="2" t="s">
        <v>2613</v>
      </c>
      <c r="B465" s="1" t="s">
        <v>2543</v>
      </c>
      <c r="C465" s="1" t="s">
        <v>2544</v>
      </c>
      <c r="D465" s="1" t="s">
        <v>4573</v>
      </c>
      <c r="E465" s="5" t="str">
        <f>HYPERLINK("mailto:mccls@mccls.org","mccls@mccls.org")</f>
        <v>mccls@mccls.org</v>
      </c>
      <c r="F465" s="6" t="str">
        <f>HYPERLINK("https://www.mccls.org/the-ellen-payne-odom-genealogy-library")</f>
        <v>https://www.mccls.org/the-ellen-payne-odom-genealogy-library</v>
      </c>
    </row>
    <row r="466" spans="1:7" ht="30">
      <c r="A466" s="2" t="s">
        <v>2588</v>
      </c>
      <c r="B466" s="1" t="s">
        <v>2589</v>
      </c>
      <c r="C466" s="1" t="s">
        <v>2590</v>
      </c>
      <c r="D466" s="1" t="s">
        <v>5042</v>
      </c>
      <c r="E466" s="5" t="str">
        <f>HYPERLINK("mailto:artsemanuel@gmail.com","artsemanuel@gmail.com")</f>
        <v>artsemanuel@gmail.com</v>
      </c>
      <c r="F466" s="6" t="str">
        <f>HYPERLINK("http://cityofswainsboro.org/residents/communityresources/arts-music-and-culture/")</f>
        <v>http://cityofswainsboro.org/residents/communityresources/arts-music-and-culture/</v>
      </c>
      <c r="G466" s="5" t="str">
        <f>HYPERLINK("https://www.facebook.com/MakeArtHappen")</f>
        <v>https://www.facebook.com/MakeArtHappen</v>
      </c>
    </row>
    <row r="467" spans="1:6" ht="15">
      <c r="A467" s="2" t="s">
        <v>2591</v>
      </c>
      <c r="B467" s="1" t="s">
        <v>2592</v>
      </c>
      <c r="C467" s="1" t="s">
        <v>2593</v>
      </c>
      <c r="D467" s="1" t="s">
        <v>5043</v>
      </c>
      <c r="E467" s="5" t="str">
        <f>HYPERLINK("mailto:echps1812@gmail.com","echps1812@gmail.com")</f>
        <v>echps1812@gmail.com</v>
      </c>
      <c r="F467" s="6" t="str">
        <f>HYPERLINK("https://myemanuelcounty.com/")</f>
        <v>https://myemanuelcounty.com/</v>
      </c>
    </row>
    <row r="468" spans="1:6" ht="15">
      <c r="A468" s="2" t="s">
        <v>1039</v>
      </c>
      <c r="B468" s="1" t="s">
        <v>1040</v>
      </c>
      <c r="C468" s="1" t="s">
        <v>1041</v>
      </c>
      <c r="D468" s="1" t="s">
        <v>4584</v>
      </c>
      <c r="F468" s="6" t="str">
        <f>HYPERLINK("https://dekalblibrary.org/branches/emhi")</f>
        <v>https://dekalblibrary.org/branches/emhi</v>
      </c>
    </row>
    <row r="469" spans="1:6" ht="15">
      <c r="A469" s="2" t="s">
        <v>790</v>
      </c>
      <c r="B469" s="1" t="s">
        <v>791</v>
      </c>
      <c r="C469" s="1" t="s">
        <v>792</v>
      </c>
      <c r="D469" s="1" t="s">
        <v>4502</v>
      </c>
      <c r="E469" s="5" t="str">
        <f>HYPERLINK("mailto:info@bartowlibrary.org","info@bartowlibrary.org")</f>
        <v>info@bartowlibrary.org</v>
      </c>
      <c r="F469" s="6" t="str">
        <f>HYPERLINK("http://www.bartowlibraryonline.org/about-locations.php")</f>
        <v>http://www.bartowlibraryonline.org/about-locations.php</v>
      </c>
    </row>
    <row r="470" spans="1:6" ht="15">
      <c r="A470" s="2" t="s">
        <v>3421</v>
      </c>
      <c r="B470" s="1" t="s">
        <v>3422</v>
      </c>
      <c r="C470" s="1" t="s">
        <v>697</v>
      </c>
      <c r="D470" s="1" t="s">
        <v>4854</v>
      </c>
      <c r="F470" s="6" t="str">
        <f>HYPERLINK("http://rose.library.emory.edu/collections/archives/index.html")</f>
        <v>http://rose.library.emory.edu/collections/archives/index.html</v>
      </c>
    </row>
    <row r="471" spans="1:6" ht="15">
      <c r="A471" s="2" t="s">
        <v>667</v>
      </c>
      <c r="C471" s="1" t="s">
        <v>229</v>
      </c>
      <c r="F471" s="6" t="str">
        <f>HYPERLINK("https://libraries.emory.edu/")</f>
        <v>https://libraries.emory.edu/</v>
      </c>
    </row>
    <row r="472" spans="1:7" ht="15">
      <c r="A472" s="2" t="s">
        <v>4036</v>
      </c>
      <c r="D472" s="1" t="s">
        <v>5435</v>
      </c>
      <c r="E472" s="5" t="str">
        <f>HYPERLINK("mailto:art@renditionsstudio.com","art@renditionsstudio.com")</f>
        <v>art@renditionsstudio.com</v>
      </c>
      <c r="F472" s="6" t="str">
        <f>HYPERLINK("http://engagingarts.com/")</f>
        <v>http://engagingarts.com/</v>
      </c>
      <c r="G472" s="5" t="str">
        <f>HYPERLINK("https://www.facebook.com/EngagingArts")</f>
        <v>https://www.facebook.com/EngagingArts</v>
      </c>
    </row>
    <row r="473" spans="1:3" ht="15">
      <c r="A473" s="2" t="s">
        <v>3505</v>
      </c>
      <c r="B473" s="1" t="s">
        <v>3506</v>
      </c>
      <c r="C473" s="1" t="s">
        <v>3507</v>
      </c>
    </row>
    <row r="474" spans="1:6" ht="15">
      <c r="A474" s="2" t="s">
        <v>862</v>
      </c>
      <c r="B474" s="1" t="s">
        <v>863</v>
      </c>
      <c r="C474" s="1" t="s">
        <v>864</v>
      </c>
      <c r="D474" s="1" t="s">
        <v>4526</v>
      </c>
      <c r="E474" s="5" t="str">
        <f>HYPERLINK("mailto:dalvis@wgrls.org","dalvis@wgrls.org")</f>
        <v>dalvis@wgrls.org</v>
      </c>
      <c r="F474" s="6" t="str">
        <f>HYPERLINK("http://www.wgrls.org/visit/ephesus/")</f>
        <v>http://www.wgrls.org/visit/ephesus/</v>
      </c>
    </row>
    <row r="475" spans="1:3" ht="15">
      <c r="A475" s="2" t="s">
        <v>1691</v>
      </c>
      <c r="B475" s="1" t="s">
        <v>1692</v>
      </c>
      <c r="C475" s="1" t="s">
        <v>1693</v>
      </c>
    </row>
    <row r="476" spans="1:6" ht="15">
      <c r="A476" s="2" t="s">
        <v>382</v>
      </c>
      <c r="B476" s="1" t="s">
        <v>383</v>
      </c>
      <c r="C476" s="1" t="s">
        <v>384</v>
      </c>
      <c r="D476" s="1" t="s">
        <v>4387</v>
      </c>
      <c r="F476" s="6" t="str">
        <f>HYPERLINK("https://gastateparks.org/EtowahIndianMounds")</f>
        <v>https://gastateparks.org/EtowahIndianMounds</v>
      </c>
    </row>
    <row r="477" spans="1:6" ht="15">
      <c r="A477" s="2" t="s">
        <v>2614</v>
      </c>
      <c r="B477" s="1" t="s">
        <v>2615</v>
      </c>
      <c r="C477" s="1" t="s">
        <v>2616</v>
      </c>
      <c r="D477" s="1" t="s">
        <v>5049</v>
      </c>
      <c r="E477" s="5" t="str">
        <f>HYPERLINK("mailto:evhs@evhsonline.org","evhs@evhsonline.org")</f>
        <v>evhs@evhsonline.org</v>
      </c>
      <c r="F477" s="6" t="str">
        <f>HYPERLINK("http://evhsonline.org/")</f>
        <v>http://evhsonline.org/</v>
      </c>
    </row>
    <row r="478" spans="1:6" ht="15">
      <c r="A478" s="2" t="s">
        <v>1627</v>
      </c>
      <c r="B478" s="1" t="s">
        <v>1628</v>
      </c>
      <c r="C478" s="1" t="s">
        <v>1629</v>
      </c>
      <c r="D478" s="1" t="s">
        <v>4762</v>
      </c>
      <c r="F478" s="6" t="str">
        <f>HYPERLINK("https://gchrl.org/branches/euchee-creek-library/")</f>
        <v>https://gchrl.org/branches/euchee-creek-library/</v>
      </c>
    </row>
    <row r="479" spans="1:6" ht="15">
      <c r="A479" s="2" t="s">
        <v>3458</v>
      </c>
      <c r="B479" s="1" t="s">
        <v>1789</v>
      </c>
      <c r="C479" s="1" t="s">
        <v>1790</v>
      </c>
      <c r="D479" s="1" t="s">
        <v>4808</v>
      </c>
      <c r="E479" s="5" t="str">
        <f>HYPERLINK("mailto:kodom@euharlee.com","kodom@euharlee.com")</f>
        <v>kodom@euharlee.com</v>
      </c>
      <c r="F479" s="6" t="str">
        <f>HYPERLINK("https://www.euharleehistory.org/euharlee-historical-society")</f>
        <v>https://www.euharleehistory.org/euharlee-historical-society</v>
      </c>
    </row>
    <row r="480" spans="1:6" ht="15">
      <c r="A480" s="2" t="s">
        <v>1788</v>
      </c>
      <c r="B480" s="1" t="s">
        <v>1789</v>
      </c>
      <c r="C480" s="1" t="s">
        <v>1790</v>
      </c>
      <c r="D480" s="1" t="s">
        <v>4808</v>
      </c>
      <c r="E480" s="5" t="str">
        <f>HYPERLINK("mailto:kodom@euharlee.com","kodom@euharlee.com")</f>
        <v>kodom@euharlee.com</v>
      </c>
      <c r="F480" s="6" t="str">
        <f>HYPERLINK("http://www.euharleehistory.org")</f>
        <v>http://www.euharleehistory.org</v>
      </c>
    </row>
    <row r="481" spans="1:3" ht="15">
      <c r="A481" s="2" t="s">
        <v>12</v>
      </c>
      <c r="B481" s="1" t="s">
        <v>13</v>
      </c>
      <c r="C481" s="1" t="s">
        <v>14</v>
      </c>
    </row>
    <row r="482" spans="1:6" ht="15">
      <c r="A482" s="2" t="s">
        <v>3459</v>
      </c>
      <c r="B482" s="1" t="s">
        <v>2224</v>
      </c>
      <c r="C482" s="1" t="s">
        <v>3460</v>
      </c>
      <c r="F482" s="6" t="str">
        <f>HYPERLINK("https://www.evanscountyhistoricalsociety.org/")</f>
        <v>https://www.evanscountyhistoricalsociety.org/</v>
      </c>
    </row>
    <row r="483" spans="1:7" ht="15">
      <c r="A483" s="2" t="s">
        <v>21</v>
      </c>
      <c r="B483" s="1" t="s">
        <v>22</v>
      </c>
      <c r="C483" s="1" t="s">
        <v>23</v>
      </c>
      <c r="D483" s="1" t="s">
        <v>4308</v>
      </c>
      <c r="E483" s="5" t="str">
        <f>HYPERLINK("mailto:expeditionbigfootblueridge@gmail.com","expeditionbigfootblueridge@gmail.com")</f>
        <v>expeditionbigfootblueridge@gmail.com</v>
      </c>
      <c r="F483" s="6" t="str">
        <f>HYPERLINK("https://www.expeditionbigfoot.com/")</f>
        <v>https://www.expeditionbigfoot.com/</v>
      </c>
      <c r="G483" s="5" t="str">
        <f>HYPERLINK("https://www.facebook.com/1EXPEDITIONBIGFOOT")</f>
        <v>https://www.facebook.com/1EXPEDITIONBIGFOOT</v>
      </c>
    </row>
    <row r="484" spans="1:6" ht="15">
      <c r="A484" s="2" t="s">
        <v>3656</v>
      </c>
      <c r="B484" s="1" t="s">
        <v>3657</v>
      </c>
      <c r="C484" s="1" t="s">
        <v>3658</v>
      </c>
      <c r="D484" s="1" t="s">
        <v>4396</v>
      </c>
      <c r="F484" s="6" t="str">
        <f>HYPERLINK("http://www.augustamuseum.org/harrishouse")</f>
        <v>http://www.augustamuseum.org/harrishouse</v>
      </c>
    </row>
    <row r="485" spans="1:6" ht="15">
      <c r="A485" s="2" t="s">
        <v>1156</v>
      </c>
      <c r="B485" s="1" t="s">
        <v>1157</v>
      </c>
      <c r="C485" s="1" t="s">
        <v>1158</v>
      </c>
      <c r="D485" s="1" t="s">
        <v>4622</v>
      </c>
      <c r="F485" s="6" t="str">
        <f>HYPERLINK("http://www.afpls.org/fairburn-branch")</f>
        <v>http://www.afpls.org/fairburn-branch</v>
      </c>
    </row>
    <row r="486" spans="1:6" ht="15">
      <c r="A486" s="2" t="s">
        <v>2013</v>
      </c>
      <c r="B486" s="1" t="s">
        <v>2014</v>
      </c>
      <c r="C486" s="1" t="s">
        <v>2015</v>
      </c>
      <c r="D486" s="1" t="s">
        <v>4878</v>
      </c>
      <c r="F486" s="6" t="str">
        <f>HYPERLINK("https://fairmountga.gov/Library.aspx")</f>
        <v>https://fairmountga.gov/Library.aspx</v>
      </c>
    </row>
    <row r="487" spans="1:6" ht="15">
      <c r="A487" s="2" t="s">
        <v>127</v>
      </c>
      <c r="B487" s="1" t="s">
        <v>128</v>
      </c>
      <c r="C487" s="1" t="s">
        <v>129</v>
      </c>
      <c r="D487" s="1" t="s">
        <v>4323</v>
      </c>
      <c r="E487" s="5" t="str">
        <f>HYPERLINK("mailto:phoenix.light@henrylibraries.org","phoenix.light@henrylibraries.org")</f>
        <v>phoenix.light@henrylibraries.org</v>
      </c>
      <c r="F487" s="6" t="str">
        <f>HYPERLINK("https://henrylibraries.org/fairview/")</f>
        <v>https://henrylibraries.org/fairview/</v>
      </c>
    </row>
    <row r="488" spans="1:6" ht="15">
      <c r="A488" s="2" t="s">
        <v>2127</v>
      </c>
      <c r="B488" s="1" t="s">
        <v>128</v>
      </c>
      <c r="C488" s="1" t="s">
        <v>2128</v>
      </c>
      <c r="D488" s="1" t="s">
        <v>4323</v>
      </c>
      <c r="F488" s="6" t="str">
        <f>HYPERLINK("http://henrylibraries.org/locations-hours/")</f>
        <v>http://henrylibraries.org/locations-hours/</v>
      </c>
    </row>
    <row r="489" spans="1:7" ht="30">
      <c r="A489" s="2" t="s">
        <v>3659</v>
      </c>
      <c r="B489" s="1" t="s">
        <v>3660</v>
      </c>
      <c r="C489" s="1" t="s">
        <v>3661</v>
      </c>
      <c r="D489" s="1" t="s">
        <v>5343</v>
      </c>
      <c r="E489" s="5" t="str">
        <f>HYPERLINK("mailto:fannincoheritage@gmail.com","fannincoheritage@gmail.com")</f>
        <v>fannincoheritage@gmail.com</v>
      </c>
      <c r="F489" s="6" t="str">
        <f>HYPERLINK("https://www.blueridgemountains.com/directory/fannin-county-heritage-foundation/")</f>
        <v>https://www.blueridgemountains.com/directory/fannin-county-heritage-foundation/</v>
      </c>
      <c r="G489" s="5" t="str">
        <f>HYPERLINK("https://www.facebook.com/Fannin-County-Heritage-Foundation-154455084622905")</f>
        <v>https://www.facebook.com/Fannin-County-Heritage-Foundation-154455084622905</v>
      </c>
    </row>
    <row r="490" spans="1:6" ht="15">
      <c r="A490" s="2" t="s">
        <v>1501</v>
      </c>
      <c r="B490" s="1" t="s">
        <v>1502</v>
      </c>
      <c r="C490" s="1" t="s">
        <v>1503</v>
      </c>
      <c r="D490" s="1" t="s">
        <v>4731</v>
      </c>
      <c r="E490" s="5" t="str">
        <f>HYPERLINK("mailto:gwood@mountainregionallibrary.org","gwood@mountainregionallibrary.org")</f>
        <v>gwood@mountainregionallibrary.org</v>
      </c>
      <c r="F490" s="6" t="str">
        <f>HYPERLINK("https://www.mountainregionallibrary.org/fannin-county-public-library")</f>
        <v>https://www.mountainregionallibrary.org/fannin-county-public-library</v>
      </c>
    </row>
    <row r="491" spans="1:6" ht="15">
      <c r="A491" s="2" t="s">
        <v>2620</v>
      </c>
      <c r="B491" s="1" t="s">
        <v>2621</v>
      </c>
      <c r="C491" s="1" t="s">
        <v>2622</v>
      </c>
      <c r="D491" s="1" t="s">
        <v>5051</v>
      </c>
      <c r="F491" s="6" t="str">
        <f>HYPERLINK("http://fayettehistoricalsociety.com")</f>
        <v>http://fayettehistoricalsociety.com</v>
      </c>
    </row>
    <row r="492" spans="1:6" ht="15">
      <c r="A492" s="2" t="s">
        <v>1426</v>
      </c>
      <c r="B492" s="1" t="s">
        <v>1427</v>
      </c>
      <c r="C492" s="1" t="s">
        <v>1428</v>
      </c>
      <c r="D492" s="1" t="s">
        <v>4706</v>
      </c>
      <c r="F492" s="6" t="str">
        <f>HYPERLINK("http://www.fayettecountyga.gov/public_library/")</f>
        <v>http://www.fayettecountyga.gov/public_library/</v>
      </c>
    </row>
    <row r="493" spans="1:8" ht="15">
      <c r="A493" s="2" t="s">
        <v>502</v>
      </c>
      <c r="B493" s="1" t="s">
        <v>503</v>
      </c>
      <c r="C493" s="1" t="s">
        <v>504</v>
      </c>
      <c r="D493" s="1" t="s">
        <v>4419</v>
      </c>
      <c r="E493" s="5" t="str">
        <f>HYPERLINK("mailto:guest.services@fernbankmuseum.org","guest.services@fernbankmuseum.org")</f>
        <v>guest.services@fernbankmuseum.org</v>
      </c>
      <c r="F493" s="6" t="str">
        <f>HYPERLINK("http://www.fernbank.museum/")</f>
        <v>http://www.fernbank.museum/</v>
      </c>
      <c r="G493" s="5" t="str">
        <f>HYPERLINK("https://www.facebook.com/FernbankMuseum")</f>
        <v>https://www.facebook.com/FernbankMuseum</v>
      </c>
      <c r="H493" s="5" t="str">
        <f>HYPERLINK("https://twitter.com/FernbankMuseum")</f>
        <v>https://twitter.com/FernbankMuseum</v>
      </c>
    </row>
    <row r="494" spans="1:8" ht="15">
      <c r="A494" s="2" t="s">
        <v>505</v>
      </c>
      <c r="C494" s="1" t="s">
        <v>506</v>
      </c>
      <c r="F494" s="6" t="str">
        <f>HYPERLINK("http://fsc.fernbank.edu")</f>
        <v>http://fsc.fernbank.edu</v>
      </c>
      <c r="G494" s="5" t="str">
        <f>HYPERLINK("https://www.facebook.com/fernbankcenter")</f>
        <v>https://www.facebook.com/fernbankcenter</v>
      </c>
      <c r="H494" s="5" t="str">
        <f>HYPERLINK("https://twitter.com/fernbankscience")</f>
        <v>https://twitter.com/fernbankscience</v>
      </c>
    </row>
    <row r="495" spans="1:6" ht="30">
      <c r="A495" s="2" t="s">
        <v>269</v>
      </c>
      <c r="B495" s="1" t="s">
        <v>270</v>
      </c>
      <c r="C495" s="1" t="s">
        <v>271</v>
      </c>
      <c r="F495" s="6" t="str">
        <f>HYPERLINK("https://ung.edu/appalachian-studies-center/historic-vickery-house.php")</f>
        <v>https://ung.edu/appalachian-studies-center/historic-vickery-house.php</v>
      </c>
    </row>
    <row r="496" spans="1:6" ht="15">
      <c r="A496" s="2" t="s">
        <v>4111</v>
      </c>
      <c r="B496" s="1" t="s">
        <v>4112</v>
      </c>
      <c r="C496" s="1" t="s">
        <v>4113</v>
      </c>
      <c r="D496" s="1" t="s">
        <v>5466</v>
      </c>
      <c r="E496" s="5" t="str">
        <f>HYPERLINK("mailto:fasmidga@gmail.com","fasmidga@gmail.com")</f>
        <v>fasmidga@gmail.com</v>
      </c>
      <c r="F496" s="6" t="str">
        <f>HYPERLINK("http://www.fasmidga.org/")</f>
        <v>http://www.fasmidga.org/</v>
      </c>
    </row>
    <row r="497" spans="1:7" ht="15">
      <c r="A497" s="2" t="s">
        <v>507</v>
      </c>
      <c r="B497" s="1" t="s">
        <v>508</v>
      </c>
      <c r="C497" s="1" t="s">
        <v>509</v>
      </c>
      <c r="D497" s="1" t="s">
        <v>4420</v>
      </c>
      <c r="F497" s="6" t="str">
        <f>HYPERLINK("https://www.firstafricanbc.com/")</f>
        <v>https://www.firstafricanbc.com/</v>
      </c>
      <c r="G497" s="5" t="str">
        <f>HYPERLINK("https://www.facebook.com/firstafrican")</f>
        <v>https://www.facebook.com/firstafrican</v>
      </c>
    </row>
    <row r="498" spans="1:4" ht="15">
      <c r="A498" s="2" t="s">
        <v>2623</v>
      </c>
      <c r="B498" s="1" t="s">
        <v>2624</v>
      </c>
      <c r="C498" s="1" t="s">
        <v>2625</v>
      </c>
      <c r="D498" s="1" t="s">
        <v>5052</v>
      </c>
    </row>
    <row r="499" spans="1:6" ht="15">
      <c r="A499" s="2" t="s">
        <v>4114</v>
      </c>
      <c r="B499" s="1" t="s">
        <v>4115</v>
      </c>
      <c r="C499" s="1" t="s">
        <v>4116</v>
      </c>
      <c r="D499" s="1" t="s">
        <v>5467</v>
      </c>
      <c r="E499" s="5" t="str">
        <f>HYPERLINK("mailto:fitzgeraldbenhillartscouncil@gmail.com","fitzgeraldbenhillartscouncil@gmail.com")</f>
        <v>fitzgeraldbenhillartscouncil@gmail.com</v>
      </c>
      <c r="F499" s="6" t="str">
        <f>HYPERLINK("http://www.fitzgeraldbenhillartscouncil.org/")</f>
        <v>http://www.fitzgeraldbenhillartscouncil.org/</v>
      </c>
    </row>
    <row r="500" spans="1:6" ht="15">
      <c r="A500" s="2" t="s">
        <v>333</v>
      </c>
      <c r="B500" s="1" t="s">
        <v>334</v>
      </c>
      <c r="C500" s="1" t="s">
        <v>335</v>
      </c>
      <c r="D500" s="1" t="s">
        <v>4373</v>
      </c>
      <c r="F500" s="6" t="str">
        <f>HYPERLINK("https://www.cprl.org/fbhcl/")</f>
        <v>https://www.cprl.org/fbhcl/</v>
      </c>
    </row>
    <row r="501" spans="1:6" ht="15">
      <c r="A501" s="2" t="s">
        <v>2109</v>
      </c>
      <c r="B501" s="1" t="s">
        <v>2110</v>
      </c>
      <c r="C501" s="1" t="s">
        <v>2111</v>
      </c>
      <c r="D501" s="1" t="s">
        <v>4645</v>
      </c>
      <c r="F501" s="6" t="str">
        <f>HYPERLINK("https://www.gwinnettpl.org/locations-and-hours/")</f>
        <v>https://www.gwinnettpl.org/locations-and-hours/</v>
      </c>
    </row>
    <row r="502" spans="1:7" ht="15">
      <c r="A502" s="2" t="s">
        <v>245</v>
      </c>
      <c r="B502" s="1" t="s">
        <v>246</v>
      </c>
      <c r="C502" s="1" t="s">
        <v>247</v>
      </c>
      <c r="D502" s="1" t="s">
        <v>4351</v>
      </c>
      <c r="E502" s="5" t="str">
        <f>HYPERLINK("mailto:Flannery@FlanneryOConnorHome.org","Flannery@FlanneryOConnorHome.org")</f>
        <v>Flannery@FlanneryOConnorHome.org</v>
      </c>
      <c r="F502" s="6" t="str">
        <f>HYPERLINK("https://www.flanneryoconnorhome.org/")</f>
        <v>https://www.flanneryoconnorhome.org/</v>
      </c>
      <c r="G502" s="5" t="str">
        <f>HYPERLINK("https://www.facebook.com/flanneryoconnorhome")</f>
        <v>https://www.facebook.com/flanneryoconnorhome</v>
      </c>
    </row>
    <row r="503" spans="1:6" ht="15">
      <c r="A503" s="2" t="s">
        <v>3461</v>
      </c>
      <c r="B503" s="1" t="s">
        <v>246</v>
      </c>
      <c r="C503" s="1" t="s">
        <v>247</v>
      </c>
      <c r="D503" s="1" t="s">
        <v>4351</v>
      </c>
      <c r="E503" s="5" t="str">
        <f>HYPERLINK("mailto:Flannery@FlanneryOConnorHome.org","Flannery@FlanneryOConnorHome.org")</f>
        <v>Flannery@FlanneryOConnorHome.org</v>
      </c>
      <c r="F503" s="6" t="str">
        <f>HYPERLINK("https://www.flanneryoconnorhome.org/")</f>
        <v>https://www.flanneryoconnorhome.org/</v>
      </c>
    </row>
    <row r="504" spans="1:7" ht="15">
      <c r="A504" s="2" t="s">
        <v>3662</v>
      </c>
      <c r="B504" s="1" t="s">
        <v>3663</v>
      </c>
      <c r="C504" s="1" t="s">
        <v>3664</v>
      </c>
      <c r="D504" s="1" t="s">
        <v>5344</v>
      </c>
      <c r="E504" s="5" t="str">
        <f>HYPERLINK("mailto:flatrockarchives@mail.com","flatrockarchives@mail.com")</f>
        <v>flatrockarchives@mail.com</v>
      </c>
      <c r="F504" s="6" t="str">
        <f>HYPERLINK("http://www.flatrockarchives.com/")</f>
        <v>http://www.flatrockarchives.com/</v>
      </c>
      <c r="G504" s="5" t="str">
        <f>HYPERLINK("https://www.facebook.com/flatrockarchivesga")</f>
        <v>https://www.facebook.com/flatrockarchivesga</v>
      </c>
    </row>
    <row r="505" spans="1:6" ht="15">
      <c r="A505" s="2" t="s">
        <v>1069</v>
      </c>
      <c r="B505" s="1" t="s">
        <v>1070</v>
      </c>
      <c r="C505" s="1" t="s">
        <v>1071</v>
      </c>
      <c r="D505" s="1" t="s">
        <v>4594</v>
      </c>
      <c r="F505" s="6" t="str">
        <f>HYPERLINK("https://dekalblibrary.org/branches/flat")</f>
        <v>https://dekalblibrary.org/branches/flat</v>
      </c>
    </row>
    <row r="506" spans="1:3" ht="15">
      <c r="A506" s="2" t="s">
        <v>293</v>
      </c>
      <c r="B506" s="1" t="s">
        <v>294</v>
      </c>
      <c r="C506" s="1" t="s">
        <v>295</v>
      </c>
    </row>
    <row r="507" spans="1:7" ht="15">
      <c r="A507" s="2" t="s">
        <v>4117</v>
      </c>
      <c r="B507" s="1" t="s">
        <v>4118</v>
      </c>
      <c r="C507" s="1" t="s">
        <v>4119</v>
      </c>
      <c r="D507" s="1" t="s">
        <v>5468</v>
      </c>
      <c r="F507" s="6" t="str">
        <f>HYPERLINK("https://www.flintriverartscouncil.org/")</f>
        <v>https://www.flintriverartscouncil.org/</v>
      </c>
      <c r="G507" s="5" t="str">
        <f>HYPERLINK("https://www.facebook.com/flintriverartscouncil")</f>
        <v>https://www.facebook.com/flintriverartscouncil</v>
      </c>
    </row>
    <row r="508" spans="1:6" ht="15">
      <c r="A508" s="2" t="s">
        <v>3665</v>
      </c>
      <c r="B508" s="1" t="s">
        <v>3666</v>
      </c>
      <c r="C508" s="1" t="s">
        <v>3667</v>
      </c>
      <c r="D508" s="1" t="s">
        <v>5345</v>
      </c>
      <c r="F508" s="6" t="str">
        <f>HYPERLINK("http://www.flintriverfarms.org/")</f>
        <v>http://www.flintriverfarms.org/</v>
      </c>
    </row>
    <row r="509" spans="1:8" ht="15">
      <c r="A509" s="2" t="s">
        <v>510</v>
      </c>
      <c r="B509" s="1" t="s">
        <v>511</v>
      </c>
      <c r="C509" s="1" t="s">
        <v>512</v>
      </c>
      <c r="D509" s="1" t="s">
        <v>4421</v>
      </c>
      <c r="E509" s="5" t="str">
        <f>HYPERLINK("mailto:bscott@flintriverquarium.com","bscott@flintriverquarium.com")</f>
        <v>bscott@flintriverquarium.com</v>
      </c>
      <c r="F509" s="6" t="str">
        <f>HYPERLINK("http://www.flintriverquarium.com/")</f>
        <v>http://www.flintriverquarium.com/</v>
      </c>
      <c r="G509" s="5" t="str">
        <f>HYPERLINK("https://www.facebook.com/flint.riverquarium")</f>
        <v>https://www.facebook.com/flint.riverquarium</v>
      </c>
      <c r="H509" s="5" t="str">
        <f>HYPERLINK("https://twitter.com/FlintRQ")</f>
        <v>https://twitter.com/FlintRQ</v>
      </c>
    </row>
    <row r="510" spans="1:8" ht="15">
      <c r="A510" s="2" t="s">
        <v>4120</v>
      </c>
      <c r="B510" s="1" t="s">
        <v>4121</v>
      </c>
      <c r="C510" s="1" t="s">
        <v>4122</v>
      </c>
      <c r="D510" s="1" t="s">
        <v>5469</v>
      </c>
      <c r="E510" s="5" t="str">
        <f>HYPERLINK("mailto:info@fluxprojects.org","info@fluxprojects.org")</f>
        <v>info@fluxprojects.org</v>
      </c>
      <c r="F510" s="6" t="str">
        <f>HYPERLINK("https://fluxprojects.org/")</f>
        <v>https://fluxprojects.org/</v>
      </c>
      <c r="G510" s="5" t="str">
        <f>HYPERLINK("https://www.facebook.com/FluxProjects")</f>
        <v>https://www.facebook.com/FluxProjects</v>
      </c>
      <c r="H510" s="5" t="str">
        <f>HYPERLINK("https://twitter.com/FluxProjects")</f>
        <v>https://twitter.com/FluxProjects</v>
      </c>
    </row>
    <row r="511" spans="1:7" ht="15">
      <c r="A511" s="2" t="s">
        <v>65</v>
      </c>
      <c r="B511" s="1" t="s">
        <v>66</v>
      </c>
      <c r="C511" s="1" t="s">
        <v>67</v>
      </c>
      <c r="E511" s="5" t="str">
        <f>HYPERLINK("mailto:team@flyonawall.buzz","team@flyonawall.buzz")</f>
        <v>team@flyonawall.buzz</v>
      </c>
      <c r="F511" s="6" t="str">
        <f>HYPERLINK("https://www.flyonawall.buzz/")</f>
        <v>https://www.flyonawall.buzz/</v>
      </c>
      <c r="G511" s="5" t="str">
        <f>HYPERLINK("https://www.facebook.com/flyonawallart")</f>
        <v>https://www.facebook.com/flyonawallart</v>
      </c>
    </row>
    <row r="512" spans="1:6" ht="15">
      <c r="A512" s="2" t="s">
        <v>1862</v>
      </c>
      <c r="B512" s="1" t="s">
        <v>1863</v>
      </c>
      <c r="C512" s="1" t="s">
        <v>1864</v>
      </c>
      <c r="D512" s="1" t="s">
        <v>4832</v>
      </c>
      <c r="F512" s="6" t="str">
        <f>HYPERLINK("https://charltoncountyga.us/239/Museum")</f>
        <v>https://charltoncountyga.us/239/Museum</v>
      </c>
    </row>
    <row r="513" spans="1:6" ht="15">
      <c r="A513" s="2" t="s">
        <v>2150</v>
      </c>
      <c r="B513" s="1" t="s">
        <v>2151</v>
      </c>
      <c r="C513" s="1" t="s">
        <v>2152</v>
      </c>
      <c r="D513" s="1" t="s">
        <v>4914</v>
      </c>
      <c r="E513" s="5" t="str">
        <f>HYPERLINK("mailto:johnsonto@liveoakpl.org","johnsonto@liveoakpl.org")</f>
        <v>johnsonto@liveoakpl.org</v>
      </c>
      <c r="F513" s="6" t="str">
        <f>HYPERLINK("https://liveoakpl.org/locations/forestcity")</f>
        <v>https://liveoakpl.org/locations/forestcity</v>
      </c>
    </row>
    <row r="514" spans="1:6" ht="15">
      <c r="A514" s="2" t="s">
        <v>934</v>
      </c>
      <c r="B514" s="1" t="s">
        <v>935</v>
      </c>
      <c r="C514" s="1" t="s">
        <v>936</v>
      </c>
      <c r="D514" s="1" t="s">
        <v>4550</v>
      </c>
      <c r="F514" s="6" t="str">
        <f>HYPERLINK("https://claytonpl.org/locations/forest-park/")</f>
        <v>https://claytonpl.org/locations/forest-park/</v>
      </c>
    </row>
    <row r="515" spans="1:7" ht="15">
      <c r="A515" s="2" t="s">
        <v>291</v>
      </c>
      <c r="B515" s="1" t="s">
        <v>292</v>
      </c>
      <c r="D515" s="1" t="s">
        <v>4361</v>
      </c>
      <c r="E515" s="5" t="str">
        <f>HYPERLINK("mailto:Ask_a_Librarian@forsythpl.org","Ask_a_Librarian@forsythpl.org")</f>
        <v>Ask_a_Librarian@forsythpl.org</v>
      </c>
      <c r="F515" s="6" t="str">
        <f>HYPERLINK("http://www.forsythpl.org/")</f>
        <v>http://www.forsythpl.org/</v>
      </c>
      <c r="G515" s="5" t="str">
        <f>HYPERLINK("https://www.facebook.com/forsythpl")</f>
        <v>https://www.facebook.com/forsythpl</v>
      </c>
    </row>
    <row r="516" spans="1:6" ht="15">
      <c r="A516" s="2" t="s">
        <v>140</v>
      </c>
      <c r="B516" s="1" t="s">
        <v>141</v>
      </c>
      <c r="C516" s="1" t="s">
        <v>142</v>
      </c>
      <c r="D516" s="1" t="s">
        <v>4326</v>
      </c>
      <c r="F516" s="6" t="str">
        <f>HYPERLINK("http://www.nps.gov/fofr/")</f>
        <v>http://www.nps.gov/fofr/</v>
      </c>
    </row>
    <row r="517" spans="1:3" ht="15">
      <c r="A517" s="2" t="s">
        <v>4006</v>
      </c>
      <c r="C517" s="1" t="s">
        <v>4007</v>
      </c>
    </row>
    <row r="518" ht="15">
      <c r="A518" s="2" t="s">
        <v>3671</v>
      </c>
    </row>
    <row r="519" spans="1:6" ht="15">
      <c r="A519" s="2" t="s">
        <v>513</v>
      </c>
      <c r="B519" s="1" t="s">
        <v>514</v>
      </c>
      <c r="C519" s="1" t="s">
        <v>515</v>
      </c>
      <c r="D519" s="1" t="s">
        <v>4422</v>
      </c>
      <c r="F519" s="6" t="str">
        <f>HYPERLINK("http://www.gastateparks.org/fortkinggeorge/")</f>
        <v>http://www.gastateparks.org/fortkinggeorge/</v>
      </c>
    </row>
    <row r="520" spans="1:6" ht="15">
      <c r="A520" s="2" t="s">
        <v>2402</v>
      </c>
      <c r="B520" s="1" t="s">
        <v>2403</v>
      </c>
      <c r="C520" s="1" t="s">
        <v>2404</v>
      </c>
      <c r="D520" s="1" t="s">
        <v>4984</v>
      </c>
      <c r="F520" s="6" t="str">
        <f>HYPERLINK("https://gastateparks.org/FortMcAllister")</f>
        <v>https://gastateparks.org/FortMcAllister</v>
      </c>
    </row>
    <row r="521" spans="1:6" ht="15">
      <c r="A521" s="2" t="s">
        <v>516</v>
      </c>
      <c r="B521" s="1" t="s">
        <v>517</v>
      </c>
      <c r="C521" s="1" t="s">
        <v>518</v>
      </c>
      <c r="D521" s="1" t="s">
        <v>4423</v>
      </c>
      <c r="F521" s="6" t="str">
        <f>HYPERLINK("https://gastateparks.org/FortMorris")</f>
        <v>https://gastateparks.org/FortMorris</v>
      </c>
    </row>
    <row r="522" spans="1:6" ht="15">
      <c r="A522" s="2" t="s">
        <v>519</v>
      </c>
      <c r="B522" s="1" t="s">
        <v>520</v>
      </c>
      <c r="C522" s="1" t="s">
        <v>521</v>
      </c>
      <c r="D522" s="1" t="s">
        <v>4424</v>
      </c>
      <c r="F522" s="6" t="str">
        <f>HYPERLINK("https://gastateparks.org/FortMountain")</f>
        <v>https://gastateparks.org/FortMountain</v>
      </c>
    </row>
    <row r="523" spans="1:6" ht="15">
      <c r="A523" s="2" t="s">
        <v>522</v>
      </c>
      <c r="B523" s="1" t="s">
        <v>523</v>
      </c>
      <c r="C523" s="1" t="s">
        <v>524</v>
      </c>
      <c r="D523" s="1" t="s">
        <v>4425</v>
      </c>
      <c r="E523" s="5" t="str">
        <f>HYPERLINK("mailto:fortotourism@gmail.com","fortotourism@gmail.com")</f>
        <v>fortotourism@gmail.com</v>
      </c>
      <c r="F523" s="6" t="str">
        <f>HYPERLINK("http://www.fortotourism.org/home0.aspx")</f>
        <v>http://www.fortotourism.org/home0.aspx</v>
      </c>
    </row>
    <row r="524" spans="1:6" ht="15">
      <c r="A524" s="2" t="s">
        <v>143</v>
      </c>
      <c r="B524" s="1" t="s">
        <v>144</v>
      </c>
      <c r="C524" s="1" t="s">
        <v>145</v>
      </c>
      <c r="D524" s="1" t="s">
        <v>4327</v>
      </c>
      <c r="F524" s="6" t="str">
        <f>HYPERLINK("http://www.nps.gov/fopu/")</f>
        <v>http://www.nps.gov/fopu/</v>
      </c>
    </row>
    <row r="525" spans="1:3" ht="15">
      <c r="A525" s="2" t="s">
        <v>4008</v>
      </c>
      <c r="C525" s="1" t="s">
        <v>4009</v>
      </c>
    </row>
    <row r="526" spans="1:6" ht="30">
      <c r="A526" s="2" t="s">
        <v>2629</v>
      </c>
      <c r="B526" s="1" t="s">
        <v>2630</v>
      </c>
      <c r="C526" s="1" t="s">
        <v>2631</v>
      </c>
      <c r="D526" s="1" t="s">
        <v>5054</v>
      </c>
      <c r="E526" s="5" t="str">
        <f>HYPERLINK("mailto:usarmy.stewart.3-id.mbx.3rd-id-museum@mail.mil","usarmy.stewart.3-id.mbx.3rd-id-museum@mail.mil")</f>
        <v>usarmy.stewart.3-id.mbx.3rd-id-museum@mail.mil</v>
      </c>
      <c r="F526" s="6" t="str">
        <f>HYPERLINK("https://history.army.mil/museums/fieldMuseums/fortStewart_3rdInfDiv/index.html")</f>
        <v>https://history.army.mil/museums/fieldMuseums/fortStewart_3rdInfDiv/index.html</v>
      </c>
    </row>
    <row r="527" spans="1:6" ht="30">
      <c r="A527" s="2" t="s">
        <v>1791</v>
      </c>
      <c r="D527" s="1" t="s">
        <v>4809</v>
      </c>
      <c r="F527" s="6" t="str">
        <f>HYPERLINK("https://www.fortvalleymainstreet.org/")</f>
        <v>https://www.fortvalleymainstreet.org/</v>
      </c>
    </row>
    <row r="528" spans="1:6" ht="15">
      <c r="A528" s="2" t="s">
        <v>525</v>
      </c>
      <c r="B528" s="1" t="s">
        <v>526</v>
      </c>
      <c r="C528" s="1" t="s">
        <v>527</v>
      </c>
      <c r="D528" s="1" t="s">
        <v>4426</v>
      </c>
      <c r="F528" s="6" t="str">
        <f>HYPERLINK("https://gastateparks.org/FortYargo")</f>
        <v>https://gastateparks.org/FortYargo</v>
      </c>
    </row>
    <row r="529" spans="1:6" ht="15">
      <c r="A529" s="2" t="s">
        <v>1570</v>
      </c>
      <c r="B529" s="1" t="s">
        <v>1571</v>
      </c>
      <c r="C529" s="1" t="s">
        <v>1572</v>
      </c>
      <c r="D529" s="1" t="s">
        <v>4323</v>
      </c>
      <c r="F529" s="6" t="str">
        <f>HYPERLINK("http://henrylibraries.org/locations-hours/")</f>
        <v>http://henrylibraries.org/locations-hours/</v>
      </c>
    </row>
    <row r="530" spans="1:3" ht="15">
      <c r="A530" s="2" t="s">
        <v>528</v>
      </c>
      <c r="C530" s="1" t="s">
        <v>529</v>
      </c>
    </row>
    <row r="531" spans="1:6" ht="15">
      <c r="A531" s="2" t="s">
        <v>3231</v>
      </c>
      <c r="B531" s="1" t="s">
        <v>3232</v>
      </c>
      <c r="C531" s="1" t="s">
        <v>3233</v>
      </c>
      <c r="D531" s="1" t="s">
        <v>5228</v>
      </c>
      <c r="F531" s="6" t="str">
        <f>HYPERLINK("https://www.bpc.edu/academics/library")</f>
        <v>https://www.bpc.edu/academics/library</v>
      </c>
    </row>
    <row r="532" spans="1:6" ht="15">
      <c r="A532" s="2" t="s">
        <v>3852</v>
      </c>
      <c r="B532" s="1" t="s">
        <v>146</v>
      </c>
      <c r="C532" s="1" t="s">
        <v>3853</v>
      </c>
      <c r="D532" s="1" t="s">
        <v>5389</v>
      </c>
      <c r="E532" s="5" t="str">
        <f>HYPERLINK("mailto:Leigh.Burns@foxtheatre.org","Leigh.Burns@foxtheatre.org")</f>
        <v>Leigh.Burns@foxtheatre.org</v>
      </c>
      <c r="F532" s="6" t="str">
        <f>HYPERLINK("https://www.foxtheatre.org/support/fox-theatre-institute")</f>
        <v>https://www.foxtheatre.org/support/fox-theatre-institute</v>
      </c>
    </row>
    <row r="533" spans="1:6" ht="15">
      <c r="A533" s="2" t="s">
        <v>1792</v>
      </c>
      <c r="B533" s="1" t="s">
        <v>1793</v>
      </c>
      <c r="C533" s="1" t="s">
        <v>1794</v>
      </c>
      <c r="D533" s="1" t="s">
        <v>4810</v>
      </c>
      <c r="E533" s="5" t="str">
        <f>HYPERLINK("mailto:foxfire@foxfire.org","foxfire@foxfire.org")</f>
        <v>foxfire@foxfire.org</v>
      </c>
      <c r="F533" s="6" t="str">
        <f>HYPERLINK("http://www.foxfire.org")</f>
        <v>http://www.foxfire.org</v>
      </c>
    </row>
    <row r="534" spans="1:3" ht="15">
      <c r="A534" s="2" t="s">
        <v>39</v>
      </c>
      <c r="B534" s="1" t="s">
        <v>40</v>
      </c>
      <c r="C534" s="1" t="s">
        <v>41</v>
      </c>
    </row>
    <row r="535" spans="1:6" ht="15">
      <c r="A535" s="2" t="s">
        <v>2798</v>
      </c>
      <c r="B535" s="1" t="s">
        <v>2799</v>
      </c>
      <c r="C535" s="1" t="s">
        <v>2800</v>
      </c>
      <c r="D535" s="1" t="s">
        <v>5106</v>
      </c>
      <c r="E535" s="5" t="str">
        <f>HYPERLINK("mailto:circulation@lagrange.edu","circulation@lagrange.edu")</f>
        <v>circulation@lagrange.edu</v>
      </c>
      <c r="F535" s="6" t="str">
        <f>HYPERLINK("https://www.lagrange.edu/library/index.html")</f>
        <v>https://www.lagrange.edu/library/index.html</v>
      </c>
    </row>
    <row r="536" spans="1:4" ht="15">
      <c r="A536" s="2" t="s">
        <v>2635</v>
      </c>
      <c r="B536" s="1" t="s">
        <v>2636</v>
      </c>
      <c r="C536" s="1" t="s">
        <v>2637</v>
      </c>
      <c r="D536" s="1" t="s">
        <v>5056</v>
      </c>
    </row>
    <row r="537" spans="1:7" ht="15">
      <c r="A537" s="2" t="s">
        <v>817</v>
      </c>
      <c r="B537" s="1" t="s">
        <v>818</v>
      </c>
      <c r="C537" s="1" t="s">
        <v>819</v>
      </c>
      <c r="D537" s="1" t="s">
        <v>4511</v>
      </c>
      <c r="E537" s="5" t="str">
        <f>HYPERLINK("mailto:swainsborolibrary@gmail.com","swainsborolibrary@gmail.com")</f>
        <v>swainsborolibrary@gmail.com</v>
      </c>
      <c r="F537" s="6" t="str">
        <f>HYPERLINK("https://strl.info/swainsboro-library/")</f>
        <v>https://strl.info/swainsboro-library/</v>
      </c>
      <c r="G537" s="5" t="str">
        <f>HYPERLINK("https://www.facebook.com/swainsborolibrary")</f>
        <v>https://www.facebook.com/swainsborolibrary</v>
      </c>
    </row>
    <row r="538" spans="1:8" ht="15">
      <c r="A538" s="2" t="s">
        <v>4123</v>
      </c>
      <c r="B538" s="1" t="s">
        <v>4124</v>
      </c>
      <c r="C538" s="1" t="s">
        <v>4125</v>
      </c>
      <c r="D538" s="1" t="s">
        <v>5470</v>
      </c>
      <c r="E538" s="5" t="str">
        <f>HYPERLINK("mailto:info@freedompark.org","info@freedompark.org")</f>
        <v>info@freedompark.org</v>
      </c>
      <c r="F538" s="6" t="str">
        <f>HYPERLINK("https://www.freedompark.org/")</f>
        <v>https://www.freedompark.org/</v>
      </c>
      <c r="G538" s="5" t="str">
        <f>HYPERLINK("https://www.facebook.com/freedomparkconservancy")</f>
        <v>https://www.facebook.com/freedomparkconservancy</v>
      </c>
      <c r="H538" s="5" t="str">
        <f>HYPERLINK("https://twitter.com/freedomparkatl")</f>
        <v>https://twitter.com/freedomparkatl</v>
      </c>
    </row>
    <row r="539" spans="1:6" ht="15">
      <c r="A539" s="2" t="s">
        <v>1402</v>
      </c>
      <c r="B539" s="1" t="s">
        <v>1403</v>
      </c>
      <c r="C539" s="1" t="s">
        <v>1404</v>
      </c>
      <c r="D539" s="1" t="s">
        <v>4698</v>
      </c>
      <c r="F539" s="6" t="str">
        <f>HYPERLINK("https://arcpls.org/locations/friedman-2/")</f>
        <v>https://arcpls.org/locations/friedman-2/</v>
      </c>
    </row>
    <row r="540" spans="1:6" ht="15">
      <c r="A540" s="2" t="s">
        <v>4126</v>
      </c>
      <c r="B540" s="1" t="s">
        <v>4127</v>
      </c>
      <c r="C540" s="1" t="s">
        <v>4128</v>
      </c>
      <c r="D540" s="1" t="s">
        <v>5471</v>
      </c>
      <c r="E540" s="5" t="str">
        <f>HYPERLINK("mailto:cofriendsandstars@gmail.com","cofriendsandstars@gmail.com")</f>
        <v>cofriendsandstars@gmail.com</v>
      </c>
      <c r="F540" s="6" t="str">
        <f>HYPERLINK("https://artsanddisabilities.org/")</f>
        <v>https://artsanddisabilities.org/</v>
      </c>
    </row>
    <row r="541" spans="1:7" ht="15">
      <c r="A541" s="2" t="s">
        <v>4129</v>
      </c>
      <c r="B541" s="1" t="s">
        <v>4130</v>
      </c>
      <c r="C541" s="1" t="s">
        <v>4131</v>
      </c>
      <c r="D541" s="1" t="s">
        <v>5472</v>
      </c>
      <c r="E541" s="5" t="str">
        <f>HYPERLINK("mailto:brazellk.gemtheatre@gmail.com","brazellk.gemtheatre@gmail.com")</f>
        <v>brazellk.gemtheatre@gmail.com</v>
      </c>
      <c r="G541" s="5" t="str">
        <f>HYPERLINK("https://www.facebook.com/CalhounsGEMTheatre")</f>
        <v>https://www.facebook.com/CalhounsGEMTheatre</v>
      </c>
    </row>
    <row r="542" spans="1:5" ht="15">
      <c r="A542" s="2" t="s">
        <v>4132</v>
      </c>
      <c r="B542" s="1" t="s">
        <v>4133</v>
      </c>
      <c r="C542" s="1" t="s">
        <v>4134</v>
      </c>
      <c r="D542" s="1" t="s">
        <v>5473</v>
      </c>
      <c r="E542" s="5" t="str">
        <f>HYPERLINK("mailto:ginaw@douglasstheatre.org","ginaw@douglasstheatre.org")</f>
        <v>ginaw@douglasstheatre.org</v>
      </c>
    </row>
    <row r="543" spans="1:7" ht="15">
      <c r="A543" s="2" t="s">
        <v>4135</v>
      </c>
      <c r="B543" s="1" t="s">
        <v>4136</v>
      </c>
      <c r="C543" s="1" t="s">
        <v>4137</v>
      </c>
      <c r="D543" s="1" t="s">
        <v>5474</v>
      </c>
      <c r="E543" s="5" t="str">
        <f>HYPERLINK("mailto:candise@friendsofmimosa.org","candise@friendsofmimosa.org")</f>
        <v>candise@friendsofmimosa.org</v>
      </c>
      <c r="F543" s="6" t="str">
        <f>HYPERLINK("https://www.friendsofmimosa.org/")</f>
        <v>https://www.friendsofmimosa.org/</v>
      </c>
      <c r="G543" s="5" t="str">
        <f>HYPERLINK("https://www.facebook.com/friendsofmimosahall")</f>
        <v>https://www.facebook.com/friendsofmimosahall</v>
      </c>
    </row>
    <row r="544" spans="1:6" ht="15">
      <c r="A544" s="2" t="s">
        <v>1795</v>
      </c>
      <c r="B544" s="1" t="s">
        <v>1796</v>
      </c>
      <c r="C544" s="1" t="s">
        <v>1797</v>
      </c>
      <c r="D544" s="1" t="s">
        <v>4811</v>
      </c>
      <c r="F544" s="6" t="str">
        <f>HYPERLINK("http://www.scullshoals.org/")</f>
        <v>http://www.scullshoals.org/</v>
      </c>
    </row>
    <row r="545" spans="1:5" ht="15">
      <c r="A545" s="2" t="s">
        <v>4138</v>
      </c>
      <c r="B545" s="1" t="s">
        <v>4139</v>
      </c>
      <c r="C545" s="1" t="s">
        <v>4140</v>
      </c>
      <c r="D545" s="1" t="s">
        <v>5475</v>
      </c>
      <c r="E545" s="5" t="str">
        <f>HYPERLINK("mailto:cnovotny@spiritdrumcorps.org","cnovotny@spiritdrumcorps.org")</f>
        <v>cnovotny@spiritdrumcorps.org</v>
      </c>
    </row>
    <row r="546" spans="1:6" ht="15">
      <c r="A546" s="2" t="s">
        <v>3462</v>
      </c>
      <c r="B546" s="1" t="s">
        <v>1832</v>
      </c>
      <c r="C546" s="1" t="s">
        <v>3463</v>
      </c>
      <c r="D546" s="1" t="s">
        <v>4823</v>
      </c>
      <c r="E546" s="5" t="str">
        <f>HYPERLINK("mailto:info@townsbluffpark.com","info@townsbluffpark.com")</f>
        <v>info@townsbluffpark.com</v>
      </c>
      <c r="F546" s="6" t="str">
        <f>HYPERLINK("http://www.townsbluffpark.com/home.html")</f>
        <v>http://www.townsbluffpark.com/home.html</v>
      </c>
    </row>
    <row r="547" ht="15">
      <c r="A547" s="2" t="s">
        <v>3829</v>
      </c>
    </row>
    <row r="548" spans="1:7" ht="15">
      <c r="A548" s="2" t="s">
        <v>3546</v>
      </c>
      <c r="C548" s="1" t="s">
        <v>3547</v>
      </c>
      <c r="F548" s="6" t="str">
        <f>HYPERLINK("http://fultonarts.org/")</f>
        <v>http://fultonarts.org/</v>
      </c>
      <c r="G548" s="5" t="str">
        <f>HYPERLINK("https://www.facebook.com/253445291342727")</f>
        <v>https://www.facebook.com/253445291342727</v>
      </c>
    </row>
    <row r="549" spans="1:6" ht="15">
      <c r="A549" s="2" t="s">
        <v>250</v>
      </c>
      <c r="B549" s="1" t="s">
        <v>251</v>
      </c>
      <c r="C549" s="1" t="s">
        <v>252</v>
      </c>
      <c r="D549" s="1" t="s">
        <v>4352</v>
      </c>
      <c r="E549" s="5" t="str">
        <f>HYPERLINK("mailto:heritagecenter@reinhardt.edu","heritagecenter@reinhardt.edu")</f>
        <v>heritagecenter@reinhardt.edu</v>
      </c>
      <c r="F549" s="6" t="str">
        <f>HYPERLINK("https://www.reinhardt.edu/funkheritage/")</f>
        <v>https://www.reinhardt.edu/funkheritage/</v>
      </c>
    </row>
    <row r="550" spans="1:6" ht="15">
      <c r="A550" s="2" t="s">
        <v>3222</v>
      </c>
      <c r="B550" s="1" t="s">
        <v>3223</v>
      </c>
      <c r="C550" s="1" t="s">
        <v>3224</v>
      </c>
      <c r="D550" s="1" t="s">
        <v>5225</v>
      </c>
      <c r="F550" s="6" t="str">
        <f>HYPERLINK("https://law.mercer.edu/library/")</f>
        <v>https://law.mercer.edu/library/</v>
      </c>
    </row>
    <row r="551" spans="1:6" ht="15">
      <c r="A551" s="2" t="s">
        <v>3971</v>
      </c>
      <c r="B551" s="1" t="s">
        <v>3972</v>
      </c>
      <c r="C551" s="1" t="s">
        <v>3973</v>
      </c>
      <c r="D551" s="1" t="s">
        <v>5413</v>
      </c>
      <c r="E551" s="5" t="str">
        <f>HYPERLINK("mailto:info@gardencity-ga.gov","info@gardencity-ga.gov")</f>
        <v>info@gardencity-ga.gov</v>
      </c>
      <c r="F551" s="6" t="str">
        <f>HYPERLINK("http://www.gardencity-ga.gov/")</f>
        <v>http://www.gardencity-ga.gov/</v>
      </c>
    </row>
    <row r="552" spans="1:6" ht="15">
      <c r="A552" s="2" t="s">
        <v>2325</v>
      </c>
      <c r="B552" s="1" t="s">
        <v>2326</v>
      </c>
      <c r="C552" s="1" t="s">
        <v>2327</v>
      </c>
      <c r="D552" s="1" t="s">
        <v>4964</v>
      </c>
      <c r="E552" s="5" t="str">
        <f>HYPERLINK("mailto:wadek@liveoakpl.org","wadek@liveoakpl.org")</f>
        <v>wadek@liveoakpl.org</v>
      </c>
      <c r="F552" s="6" t="str">
        <f>HYPERLINK("https://liveoakpl.org/locations/gardencity")</f>
        <v>https://liveoakpl.org/locations/gardencity</v>
      </c>
    </row>
    <row r="553" spans="1:6" ht="15">
      <c r="A553" s="2" t="s">
        <v>2638</v>
      </c>
      <c r="B553" s="1" t="s">
        <v>2639</v>
      </c>
      <c r="C553" s="1" t="s">
        <v>2640</v>
      </c>
      <c r="D553" s="1" t="s">
        <v>5057</v>
      </c>
      <c r="E553" s="5" t="str">
        <f>HYPERLINK("mailto:genealsoc@gmail.com","genealsoc@gmail.com")</f>
        <v>genealsoc@gmail.com</v>
      </c>
      <c r="F553" s="6" t="str">
        <f>HYPERLINK("http://www.henryclaytongenealogy.com/")</f>
        <v>http://www.henryclaytongenealogy.com/</v>
      </c>
    </row>
    <row r="554" spans="1:6" ht="15">
      <c r="A554" s="2" t="s">
        <v>3841</v>
      </c>
      <c r="E554" s="5" t="str">
        <f>HYPERLINK("mailto:artsed@artsedga.org","artsed@artsedga.org")</f>
        <v>artsed@artsedga.org</v>
      </c>
      <c r="F554" s="6" t="str">
        <f>HYPERLINK("https://www.artsedga.org/")</f>
        <v>https://www.artsedga.org/</v>
      </c>
    </row>
    <row r="555" spans="1:6" ht="15">
      <c r="A555" s="2" t="s">
        <v>2958</v>
      </c>
      <c r="E555" s="5" t="str">
        <f>HYPERLINK("mailto:gapc2009@gmail.com","gapc2009@gmail.com")</f>
        <v>gapc2009@gmail.com</v>
      </c>
      <c r="F555" s="6" t="str">
        <f>HYPERLINK("http://www.georgiahpcs.org/")</f>
        <v>http://www.georgiahpcs.org/</v>
      </c>
    </row>
    <row r="556" spans="1:6" ht="15">
      <c r="A556" s="2" t="s">
        <v>221</v>
      </c>
      <c r="B556" s="1" t="s">
        <v>222</v>
      </c>
      <c r="C556" s="1" t="s">
        <v>223</v>
      </c>
      <c r="D556" s="1" t="s">
        <v>4345</v>
      </c>
      <c r="F556" s="6" t="str">
        <f>HYPERLINK("https://www.georgiaarchives.org/")</f>
        <v>https://www.georgiaarchives.org/</v>
      </c>
    </row>
    <row r="557" spans="1:7" ht="15">
      <c r="A557" s="2" t="s">
        <v>3842</v>
      </c>
      <c r="E557" s="5" t="str">
        <f>HYPERLINK("mailto:Linn_Zamora@gwinnett.k12.ga.us","Linn_Zamora@gwinnett.k12.ga.us")</f>
        <v>Linn_Zamora@gwinnett.k12.ga.us</v>
      </c>
      <c r="F557" s="6" t="str">
        <f>HYPERLINK("https://www.gaea-artforall.org/")</f>
        <v>https://www.gaea-artforall.org/</v>
      </c>
      <c r="G557" s="5" t="str">
        <f>HYPERLINK("https://www.facebook.com/GeorgiaArtEducationAssociation")</f>
        <v>https://www.facebook.com/GeorgiaArtEducationAssociation</v>
      </c>
    </row>
    <row r="558" spans="1:6" ht="15">
      <c r="A558" s="2" t="s">
        <v>3838</v>
      </c>
      <c r="B558" s="1" t="s">
        <v>3839</v>
      </c>
      <c r="C558" s="1" t="s">
        <v>3840</v>
      </c>
      <c r="D558" s="1" t="s">
        <v>5386</v>
      </c>
      <c r="E558" s="5" t="str">
        <f>HYPERLINK("mailto:theresashields84@hotmail.com","theresashields84@hotmail.com")</f>
        <v>theresashields84@hotmail.com</v>
      </c>
      <c r="F558" s="6" t="str">
        <f>HYPERLINK("https://www.georgiaartistswd.org/index.php")</f>
        <v>https://www.georgiaartistswd.org/index.php</v>
      </c>
    </row>
    <row r="559" spans="1:6" ht="15">
      <c r="A559" s="2" t="s">
        <v>2641</v>
      </c>
      <c r="B559" s="1" t="s">
        <v>2642</v>
      </c>
      <c r="C559" s="1" t="s">
        <v>2643</v>
      </c>
      <c r="D559" s="1" t="s">
        <v>5058</v>
      </c>
      <c r="E559" s="5" t="str">
        <f>HYPERLINK("mailto:pficarra@gabaptist.org","pficarra@gabaptist.org")</f>
        <v>pficarra@gabaptist.org</v>
      </c>
      <c r="F559" s="6" t="str">
        <f>HYPERLINK("https://gabaptist.org/history/")</f>
        <v>https://gabaptist.org/history/</v>
      </c>
    </row>
    <row r="560" spans="1:6" ht="15">
      <c r="A560" s="2" t="s">
        <v>3464</v>
      </c>
      <c r="E560" s="5" t="str">
        <f>HYPERLINK("mailto:info@georgiabattlefields.org","info@georgiabattlefields.org")</f>
        <v>info@georgiabattlefields.org</v>
      </c>
      <c r="F560" s="6" t="str">
        <f>HYPERLINK("http://www.georgiabattlefields.org/home.aspx")</f>
        <v>http://www.georgiabattlefields.org/home.aspx</v>
      </c>
    </row>
    <row r="561" spans="1:5" ht="15">
      <c r="A561" s="2" t="s">
        <v>2944</v>
      </c>
      <c r="E561" s="5" t="str">
        <f>HYPERLINK("mailto:gordonw2u@yahoo.com","gordonw2u@yahoo.com")</f>
        <v>gordonw2u@yahoo.com</v>
      </c>
    </row>
    <row r="562" spans="1:4" ht="15">
      <c r="A562" s="2" t="s">
        <v>115</v>
      </c>
      <c r="B562" s="1" t="s">
        <v>116</v>
      </c>
      <c r="C562" s="1" t="s">
        <v>117</v>
      </c>
      <c r="D562" s="1" t="s">
        <v>4321</v>
      </c>
    </row>
    <row r="563" spans="1:6" ht="15">
      <c r="A563" s="2" t="s">
        <v>2644</v>
      </c>
      <c r="B563" s="1" t="s">
        <v>2645</v>
      </c>
      <c r="C563" s="1" t="s">
        <v>2646</v>
      </c>
      <c r="D563" s="1" t="s">
        <v>5059</v>
      </c>
      <c r="E563" s="5" t="str">
        <f>HYPERLINK("mailto:gacapitoltours@uga.edu","gacapitoltours@uga.edu")</f>
        <v>gacapitoltours@uga.edu</v>
      </c>
      <c r="F563" s="6" t="str">
        <f>HYPERLINK("https://www.libs.uga.edu/capitolmuseum/index.html")</f>
        <v>https://www.libs.uga.edu/capitolmuseum/index.html</v>
      </c>
    </row>
    <row r="564" spans="1:6" ht="15">
      <c r="A564" s="2" t="s">
        <v>3240</v>
      </c>
      <c r="B564" s="1" t="s">
        <v>3241</v>
      </c>
      <c r="C564" s="1" t="s">
        <v>3242</v>
      </c>
      <c r="D564" s="1" t="s">
        <v>5231</v>
      </c>
      <c r="F564" s="6" t="str">
        <f>HYPERLINK("http://gcuniv.edu/Library")</f>
        <v>http://gcuniv.edu/Library</v>
      </c>
    </row>
    <row r="565" spans="1:6" ht="30">
      <c r="A565" s="2" t="s">
        <v>2647</v>
      </c>
      <c r="B565" s="1" t="s">
        <v>2648</v>
      </c>
      <c r="C565" s="1" t="s">
        <v>2649</v>
      </c>
      <c r="D565" s="1" t="s">
        <v>5060</v>
      </c>
      <c r="E565" s="5" t="str">
        <f>HYPERLINK("mailto:circ@gcsu.edu","circ@gcsu.edu")</f>
        <v>circ@gcsu.edu</v>
      </c>
      <c r="F565" s="6" t="str">
        <f>HYPERLINK("https://www.gcsu.edu/library")</f>
        <v>https://www.gcsu.edu/library</v>
      </c>
    </row>
    <row r="566" spans="1:6" ht="15">
      <c r="A566" s="2" t="s">
        <v>1801</v>
      </c>
      <c r="B566" s="1" t="s">
        <v>1802</v>
      </c>
      <c r="C566" s="1" t="s">
        <v>1803</v>
      </c>
      <c r="D566" s="1" t="s">
        <v>4813</v>
      </c>
      <c r="F566" s="6" t="str">
        <f>HYPERLINK("https://www.gcsu.edu/artsandsciences/art/galleries")</f>
        <v>https://www.gcsu.edu/artsandsciences/art/galleries</v>
      </c>
    </row>
    <row r="567" spans="1:6" ht="15">
      <c r="A567" s="2" t="s">
        <v>2650</v>
      </c>
      <c r="B567" s="1" t="s">
        <v>2651</v>
      </c>
      <c r="C567" s="1" t="s">
        <v>2652</v>
      </c>
      <c r="D567" s="1" t="s">
        <v>5061</v>
      </c>
      <c r="F567" s="6" t="str">
        <f>HYPERLINK("https://gaarts.org/")</f>
        <v>https://gaarts.org/</v>
      </c>
    </row>
    <row r="568" spans="1:6" ht="15">
      <c r="A568" s="2" t="s">
        <v>2945</v>
      </c>
      <c r="D568" s="1" t="s">
        <v>5150</v>
      </c>
      <c r="E568" s="5" t="str">
        <f>HYPERLINK("mailto:secretary@gascv.org","secretary@gascv.org")</f>
        <v>secretary@gascv.org</v>
      </c>
      <c r="F568" s="6" t="str">
        <f>HYPERLINK("https://www.georgiascv.org/")</f>
        <v>https://www.georgiascv.org/</v>
      </c>
    </row>
    <row r="569" spans="1:6" ht="15">
      <c r="A569" s="2" t="s">
        <v>2653</v>
      </c>
      <c r="E569" s="5" t="str">
        <f>HYPERLINK("mailto:ighr@gagensociety.org","ighr@gagensociety.org")</f>
        <v>ighr@gagensociety.org</v>
      </c>
      <c r="F569" s="6" t="str">
        <f>HYPERLINK("http://www.gagensociety.org")</f>
        <v>http://www.gagensociety.org</v>
      </c>
    </row>
    <row r="570" spans="1:6" ht="15">
      <c r="A570" s="2" t="s">
        <v>574</v>
      </c>
      <c r="B570" s="1" t="s">
        <v>575</v>
      </c>
      <c r="C570" s="1" t="s">
        <v>576</v>
      </c>
      <c r="D570" s="1" t="s">
        <v>4440</v>
      </c>
      <c r="F570" s="6" t="str">
        <f>HYPERLINK("https://gov.georgia.gov/governors-mansion")</f>
        <v>https://gov.georgia.gov/governors-mansion</v>
      </c>
    </row>
    <row r="571" spans="1:6" ht="30">
      <c r="A571" s="2" t="s">
        <v>2654</v>
      </c>
      <c r="B571" s="1" t="s">
        <v>2655</v>
      </c>
      <c r="C571" s="1" t="s">
        <v>2656</v>
      </c>
      <c r="D571" s="1" t="s">
        <v>5062</v>
      </c>
      <c r="E571" s="5" t="str">
        <f>HYPERLINK("mailto:bmann@ggc.edu","bmann@ggc.edu")</f>
        <v>bmann@ggc.edu</v>
      </c>
      <c r="F571" s="6" t="str">
        <f>HYPERLINK("https://www.ggc.edu/academics/library/")</f>
        <v>https://www.ggc.edu/academics/library/</v>
      </c>
    </row>
    <row r="572" spans="1:6" ht="30">
      <c r="A572" s="2" t="s">
        <v>3154</v>
      </c>
      <c r="B572" s="1" t="s">
        <v>3155</v>
      </c>
      <c r="C572" s="1" t="s">
        <v>3156</v>
      </c>
      <c r="D572" s="1" t="s">
        <v>5207</v>
      </c>
      <c r="E572" s="5" t="str">
        <f>HYPERLINK("mailto:ask@highlands.libanswers.com","ask@highlands.libanswers.com")</f>
        <v>ask@highlands.libanswers.com</v>
      </c>
      <c r="F572" s="6" t="str">
        <f>HYPERLINK("https://getlibraryhelp.highlands.edu/c.php?g=166842&amp;p=1096446")</f>
        <v>https://getlibraryhelp.highlands.edu/c.php?g=166842&amp;p=1096446</v>
      </c>
    </row>
    <row r="573" spans="1:6" ht="30">
      <c r="A573" s="2" t="s">
        <v>3157</v>
      </c>
      <c r="B573" s="1" t="s">
        <v>3158</v>
      </c>
      <c r="C573" s="1" t="s">
        <v>3159</v>
      </c>
      <c r="D573" s="1" t="s">
        <v>5208</v>
      </c>
      <c r="E573" s="5" t="str">
        <f>HYPERLINK("mailto:kbenneds@highlands.edu","kbenneds@highlands.edu")</f>
        <v>kbenneds@highlands.edu</v>
      </c>
      <c r="F573" s="6" t="str">
        <f>HYPERLINK("https://getlibraryhelp.highlands.edu/GHC_Library_Locations/douglasville")</f>
        <v>https://getlibraryhelp.highlands.edu/GHC_Library_Locations/douglasville</v>
      </c>
    </row>
    <row r="574" spans="1:6" ht="30">
      <c r="A574" s="2" t="s">
        <v>3160</v>
      </c>
      <c r="B574" s="1" t="s">
        <v>3161</v>
      </c>
      <c r="C574" s="1" t="s">
        <v>3162</v>
      </c>
      <c r="D574" s="1" t="s">
        <v>4385</v>
      </c>
      <c r="F574" s="6" t="str">
        <f>HYPERLINK("https://getlibraryhelp.highlands.edu/c.php?g=166842&amp;p=1096562")</f>
        <v>https://getlibraryhelp.highlands.edu/c.php?g=166842&amp;p=1096562</v>
      </c>
    </row>
    <row r="575" spans="1:6" ht="15">
      <c r="A575" s="2" t="s">
        <v>3146</v>
      </c>
      <c r="B575" s="1" t="s">
        <v>3147</v>
      </c>
      <c r="C575" s="1" t="s">
        <v>3148</v>
      </c>
      <c r="D575" s="1" t="s">
        <v>5204</v>
      </c>
      <c r="E575" s="5" t="str">
        <f>HYPERLINK("mailto:lgargis@highlands.edu","lgargis@highlands.edu")</f>
        <v>lgargis@highlands.edu</v>
      </c>
      <c r="F575" s="6" t="str">
        <f>HYPERLINK("https://getlibraryhelp.highlands.edu/c.php?g=166842&amp;p=1096582")</f>
        <v>https://getlibraryhelp.highlands.edu/c.php?g=166842&amp;p=1096582</v>
      </c>
    </row>
    <row r="576" spans="1:6" ht="15">
      <c r="A576" s="2" t="s">
        <v>3143</v>
      </c>
      <c r="B576" s="1" t="s">
        <v>3144</v>
      </c>
      <c r="C576" s="1" t="s">
        <v>3145</v>
      </c>
      <c r="D576" s="1" t="s">
        <v>5203</v>
      </c>
      <c r="F576" s="6" t="str">
        <f>HYPERLINK("https://getlibraryhelp.highlands.edu/c.php?g=166842&amp;p=1096325")</f>
        <v>https://getlibraryhelp.highlands.edu/c.php?g=166842&amp;p=1096325</v>
      </c>
    </row>
    <row r="577" spans="1:6" ht="15">
      <c r="A577" s="2" t="s">
        <v>3514</v>
      </c>
      <c r="F577" s="6" t="str">
        <f>HYPERLINK("https://www.georgiaarchives.org/ghrac")</f>
        <v>https://www.georgiaarchives.org/ghrac</v>
      </c>
    </row>
    <row r="578" spans="1:6" ht="15">
      <c r="A578" s="2" t="s">
        <v>577</v>
      </c>
      <c r="B578" s="1" t="s">
        <v>578</v>
      </c>
      <c r="C578" s="1" t="s">
        <v>579</v>
      </c>
      <c r="D578" s="1" t="s">
        <v>4441</v>
      </c>
      <c r="F578" s="6" t="str">
        <f>HYPERLINK("http://www.georgiahistory.com")</f>
        <v>http://www.georgiahistory.com</v>
      </c>
    </row>
    <row r="579" spans="1:6" ht="15">
      <c r="A579" s="2" t="s">
        <v>308</v>
      </c>
      <c r="B579" s="1" t="s">
        <v>309</v>
      </c>
      <c r="C579" s="1" t="s">
        <v>310</v>
      </c>
      <c r="D579" s="1" t="s">
        <v>4366</v>
      </c>
      <c r="E579" s="5" t="str">
        <f>HYPERLINK("mailto:ltmc@georgiahumanities.org","ltmc@georgiahumanities.org")</f>
        <v>ltmc@georgiahumanities.org</v>
      </c>
      <c r="F579" s="6" t="str">
        <f>HYPERLINK("http://www.georgiahumanities.org/")</f>
        <v>http://www.georgiahumanities.org/</v>
      </c>
    </row>
    <row r="580" spans="1:6" ht="30">
      <c r="A580" s="2" t="s">
        <v>2657</v>
      </c>
      <c r="B580" s="1" t="s">
        <v>2658</v>
      </c>
      <c r="C580" s="1" t="s">
        <v>2659</v>
      </c>
      <c r="D580" s="1" t="s">
        <v>5063</v>
      </c>
      <c r="E580" s="5" t="str">
        <f>HYPERLINK("mailto:jody.thompson@library.gatech.edu","jody.thompson@library.gatech.edu")</f>
        <v>jody.thompson@library.gatech.edu</v>
      </c>
      <c r="F580" s="6" t="str">
        <f>HYPERLINK("https://www.library.gatech.edu/archives")</f>
        <v>https://www.library.gatech.edu/archives</v>
      </c>
    </row>
    <row r="581" spans="1:6" ht="15">
      <c r="A581" s="2" t="s">
        <v>2660</v>
      </c>
      <c r="B581" s="1" t="s">
        <v>2661</v>
      </c>
      <c r="C581" s="1" t="s">
        <v>2662</v>
      </c>
      <c r="D581" s="1" t="s">
        <v>5064</v>
      </c>
      <c r="E581" s="5" t="str">
        <f>HYPERLINK("mailto:glass@georgialibraries.org","glass@georgialibraries.org")</f>
        <v>glass@georgialibraries.org</v>
      </c>
      <c r="F581" s="6" t="str">
        <f>HYPERLINK("http://georgialibraries.org/glass/")</f>
        <v>http://georgialibraries.org/glass/</v>
      </c>
    </row>
    <row r="582" spans="1:6" ht="15">
      <c r="A582" s="2" t="s">
        <v>3916</v>
      </c>
      <c r="B582" s="1" t="s">
        <v>3917</v>
      </c>
      <c r="C582" s="1" t="s">
        <v>3918</v>
      </c>
      <c r="D582" s="1" t="s">
        <v>5402</v>
      </c>
      <c r="E582" s="5" t="str">
        <f>HYPERLINK("mailto:sbowman@gmc.edu","sbowman@gmc.edu")</f>
        <v>sbowman@gmc.edu</v>
      </c>
      <c r="F582" s="6" t="str">
        <f>HYPERLINK("http://gmcga.libguides.com/augusta")</f>
        <v>http://gmcga.libguides.com/augusta</v>
      </c>
    </row>
    <row r="583" spans="1:6" ht="15">
      <c r="A583" s="2" t="s">
        <v>3919</v>
      </c>
      <c r="B583" s="1" t="s">
        <v>3920</v>
      </c>
      <c r="C583" s="1" t="s">
        <v>3921</v>
      </c>
      <c r="D583" s="1" t="s">
        <v>5403</v>
      </c>
      <c r="E583" s="5" t="str">
        <f>HYPERLINK("mailto:jpooler@gmc.edu","jpooler@gmc.edu")</f>
        <v>jpooler@gmc.edu</v>
      </c>
      <c r="F583" s="6" t="str">
        <f>HYPERLINK("http://gmcga.libguides.com/columbus")</f>
        <v>http://gmcga.libguides.com/columbus</v>
      </c>
    </row>
    <row r="584" spans="1:6" ht="15">
      <c r="A584" s="2" t="s">
        <v>3922</v>
      </c>
      <c r="B584" s="1" t="s">
        <v>3923</v>
      </c>
      <c r="C584" s="1" t="s">
        <v>3924</v>
      </c>
      <c r="D584" s="1" t="s">
        <v>5404</v>
      </c>
      <c r="E584" s="5" t="str">
        <f>HYPERLINK("mailto:tgullatt@gmc.edu","tgullatt@gmc.edu")</f>
        <v>tgullatt@gmc.edu</v>
      </c>
      <c r="F584" s="6" t="str">
        <f>HYPERLINK("http://gmcga.libguides.com/fairburn")</f>
        <v>http://gmcga.libguides.com/fairburn</v>
      </c>
    </row>
    <row r="585" spans="1:6" ht="15">
      <c r="A585" s="2" t="s">
        <v>3925</v>
      </c>
      <c r="B585" s="1" t="s">
        <v>3926</v>
      </c>
      <c r="C585" s="1" t="s">
        <v>3927</v>
      </c>
      <c r="D585" s="1" t="s">
        <v>5405</v>
      </c>
      <c r="E585" s="5" t="str">
        <f>HYPERLINK("mailto:sprosser@gmc.edu","sprosser@gmc.edu")</f>
        <v>sprosser@gmc.edu</v>
      </c>
      <c r="F585" s="6" t="str">
        <f>HYPERLINK("http://gmcga.libguides.com/fayetteville")</f>
        <v>http://gmcga.libguides.com/fayetteville</v>
      </c>
    </row>
    <row r="586" spans="1:6" ht="15">
      <c r="A586" s="2" t="s">
        <v>3928</v>
      </c>
      <c r="B586" s="1" t="s">
        <v>3929</v>
      </c>
      <c r="C586" s="1" t="s">
        <v>3930</v>
      </c>
      <c r="D586" s="1" t="s">
        <v>5406</v>
      </c>
      <c r="E586" s="5" t="str">
        <f>HYPERLINK("mailto:aadams@gmc.edu","aadams@gmc.edu")</f>
        <v>aadams@gmc.edu</v>
      </c>
      <c r="F586" s="6" t="str">
        <f>HYPERLINK("http://gmcga.libguides.com/valdosta")</f>
        <v>http://gmcga.libguides.com/valdosta</v>
      </c>
    </row>
    <row r="587" spans="1:6" ht="30">
      <c r="A587" s="2" t="s">
        <v>3931</v>
      </c>
      <c r="B587" s="1" t="s">
        <v>3932</v>
      </c>
      <c r="C587" s="1" t="s">
        <v>3933</v>
      </c>
      <c r="D587" s="1" t="s">
        <v>5407</v>
      </c>
      <c r="E587" s="5" t="str">
        <f>HYPERLINK("mailto:jqwatkins@gmc.edu","jqwatkins@gmc.edu")</f>
        <v>jqwatkins@gmc.edu</v>
      </c>
      <c r="F587" s="6" t="str">
        <f>HYPERLINK("http://gmcga.libguides.com/warnerrobins")</f>
        <v>http://gmcga.libguides.com/warnerrobins</v>
      </c>
    </row>
    <row r="588" spans="1:6" ht="15">
      <c r="A588" s="2" t="s">
        <v>3465</v>
      </c>
      <c r="B588" s="1" t="s">
        <v>3466</v>
      </c>
      <c r="C588" s="1" t="s">
        <v>3467</v>
      </c>
      <c r="D588" s="1" t="s">
        <v>5296</v>
      </c>
      <c r="E588" s="5" t="str">
        <f>HYPERLINK("mailto:eaglepw@gmail.com","eaglepw@gmail.com")</f>
        <v>eaglepw@gmail.com</v>
      </c>
      <c r="F588" s="6" t="str">
        <f>HYPERLINK("https://chapterdues.moaa.org/georgiamoaa")</f>
        <v>https://chapterdues.moaa.org/georgiamoaa</v>
      </c>
    </row>
    <row r="589" spans="1:6" ht="15">
      <c r="A589" s="2" t="s">
        <v>218</v>
      </c>
      <c r="B589" s="1" t="s">
        <v>219</v>
      </c>
      <c r="C589" s="1" t="s">
        <v>220</v>
      </c>
      <c r="D589" s="1" t="s">
        <v>4344</v>
      </c>
      <c r="E589" s="5" t="str">
        <f>HYPERLINK("mailto:museum@abac.edu","museum@abac.edu")</f>
        <v>museum@abac.edu</v>
      </c>
      <c r="F589" s="6" t="str">
        <f>HYPERLINK("https://gma.abac.edu/")</f>
        <v>https://gma.abac.edu/</v>
      </c>
    </row>
    <row r="590" spans="1:6" ht="15">
      <c r="A590" s="2" t="s">
        <v>580</v>
      </c>
      <c r="B590" s="1" t="s">
        <v>581</v>
      </c>
      <c r="C590" s="1" t="s">
        <v>582</v>
      </c>
      <c r="D590" s="1" t="s">
        <v>4442</v>
      </c>
      <c r="F590" s="6" t="str">
        <f>HYPERLINK("https://georgiamuseum.org/")</f>
        <v>https://georgiamuseum.org/</v>
      </c>
    </row>
    <row r="591" spans="1:6" ht="15">
      <c r="A591" s="2" t="s">
        <v>583</v>
      </c>
      <c r="B591" s="1" t="s">
        <v>584</v>
      </c>
      <c r="C591" s="1" t="s">
        <v>585</v>
      </c>
      <c r="D591" s="1" t="s">
        <v>4443</v>
      </c>
      <c r="E591" s="5" t="str">
        <f>HYPERLINK("mailto:musinfo@uga.edu","musinfo@uga.edu")</f>
        <v>musinfo@uga.edu</v>
      </c>
      <c r="F591" s="6" t="str">
        <f>HYPERLINK("http://dromus.nhm.uga.edu/")</f>
        <v>http://dromus.nhm.uga.edu/</v>
      </c>
    </row>
    <row r="592" spans="1:6" ht="15">
      <c r="A592" s="2" t="s">
        <v>1708</v>
      </c>
      <c r="B592" s="1" t="s">
        <v>1709</v>
      </c>
      <c r="C592" s="1" t="s">
        <v>1710</v>
      </c>
      <c r="D592" s="1" t="s">
        <v>4347</v>
      </c>
      <c r="E592" s="5" t="str">
        <f>HYPERLINK("mailto:tdeariso@heritagecenter.org","tdeariso@heritagecenter.org")</f>
        <v>tdeariso@heritagecenter.org</v>
      </c>
      <c r="F592" s="6" t="str">
        <f>HYPERLINK("http://www.heritagecenter.org/GAMOSAM.html")</f>
        <v>http://www.heritagecenter.org/GAMOSAM.html</v>
      </c>
    </row>
    <row r="593" spans="1:7" ht="15">
      <c r="A593" s="2" t="s">
        <v>3843</v>
      </c>
      <c r="D593" s="1" t="s">
        <v>5387</v>
      </c>
      <c r="F593" s="6" t="str">
        <f>HYPERLINK("https://www.gmea.org/")</f>
        <v>https://www.gmea.org/</v>
      </c>
      <c r="G593" s="5" t="str">
        <f>HYPERLINK("https://www.facebook.com/GMEAorg")</f>
        <v>https://www.facebook.com/GMEAorg</v>
      </c>
    </row>
    <row r="594" spans="1:6" ht="15">
      <c r="A594" s="2" t="s">
        <v>3849</v>
      </c>
      <c r="B594" s="1" t="s">
        <v>3850</v>
      </c>
      <c r="C594" s="1" t="s">
        <v>3851</v>
      </c>
      <c r="E594" s="5" t="str">
        <f>HYPERLINK("mailto:info@gamusicfoundation.org","info@gamusicfoundation.org")</f>
        <v>info@gamusicfoundation.org</v>
      </c>
      <c r="F594" s="6" t="str">
        <f>HYPERLINK("https://www.georgiamusicfoundation.org/")</f>
        <v>https://www.georgiamusicfoundation.org/</v>
      </c>
    </row>
    <row r="595" spans="1:6" ht="30">
      <c r="A595" s="2" t="s">
        <v>2556</v>
      </c>
      <c r="B595" s="1" t="s">
        <v>2557</v>
      </c>
      <c r="C595" s="1" t="s">
        <v>2558</v>
      </c>
      <c r="D595" s="1" t="s">
        <v>5032</v>
      </c>
      <c r="F595" s="6" t="str">
        <f>HYPERLINK("https://library.gntc.edu/ccc")</f>
        <v>https://library.gntc.edu/ccc</v>
      </c>
    </row>
    <row r="596" spans="1:6" ht="30">
      <c r="A596" s="2" t="s">
        <v>2772</v>
      </c>
      <c r="B596" s="1" t="s">
        <v>2773</v>
      </c>
      <c r="C596" s="1" t="s">
        <v>2774</v>
      </c>
      <c r="D596" s="1" t="s">
        <v>5098</v>
      </c>
      <c r="F596" s="6" t="str">
        <f>HYPERLINK("https://library.gntc.edu/fcc")</f>
        <v>https://library.gntc.edu/fcc</v>
      </c>
    </row>
    <row r="597" spans="1:6" ht="30">
      <c r="A597" s="2" t="s">
        <v>2756</v>
      </c>
      <c r="B597" s="1" t="s">
        <v>2757</v>
      </c>
      <c r="C597" s="1" t="s">
        <v>2758</v>
      </c>
      <c r="D597" s="1" t="s">
        <v>5093</v>
      </c>
      <c r="F597" s="6" t="str">
        <f>HYPERLINK("https://library.gntc.edu/gcc")</f>
        <v>https://library.gntc.edu/gcc</v>
      </c>
    </row>
    <row r="598" spans="1:6" ht="30">
      <c r="A598" s="2" t="s">
        <v>2784</v>
      </c>
      <c r="B598" s="1" t="s">
        <v>2785</v>
      </c>
      <c r="C598" s="1" t="s">
        <v>2786</v>
      </c>
      <c r="D598" s="1" t="s">
        <v>5102</v>
      </c>
      <c r="F598" s="6" t="str">
        <f>HYPERLINK("https://library.gntc.edu/pcc")</f>
        <v>https://library.gntc.edu/pcc</v>
      </c>
    </row>
    <row r="599" spans="1:6" ht="30">
      <c r="A599" s="2" t="s">
        <v>3322</v>
      </c>
      <c r="B599" s="1" t="s">
        <v>3323</v>
      </c>
      <c r="C599" s="1" t="s">
        <v>3324</v>
      </c>
      <c r="D599" s="1" t="s">
        <v>5253</v>
      </c>
      <c r="F599" s="6" t="str">
        <f>HYPERLINK("https://library.gntc.edu/wcc")</f>
        <v>https://library.gntc.edu/wcc</v>
      </c>
    </row>
    <row r="600" spans="1:6" ht="30">
      <c r="A600" s="2" t="s">
        <v>3328</v>
      </c>
      <c r="B600" s="1" t="s">
        <v>3329</v>
      </c>
      <c r="C600" s="1" t="s">
        <v>3330</v>
      </c>
      <c r="D600" s="1" t="s">
        <v>5255</v>
      </c>
      <c r="F600" s="6" t="str">
        <f>HYPERLINK("https://library.gntc.edu/wmc")</f>
        <v>https://library.gntc.edu/wmc</v>
      </c>
    </row>
    <row r="601" spans="1:6" ht="30">
      <c r="A601" s="2" t="s">
        <v>3331</v>
      </c>
      <c r="B601" s="1" t="s">
        <v>3332</v>
      </c>
      <c r="C601" s="1" t="s">
        <v>3333</v>
      </c>
      <c r="D601" s="1" t="s">
        <v>5256</v>
      </c>
      <c r="F601" s="6" t="str">
        <f>HYPERLINK("https://www.gptc.edu/current-students/campus-services-amenities/library/")</f>
        <v>https://www.gptc.edu/current-students/campus-services-amenities/library/</v>
      </c>
    </row>
    <row r="602" spans="1:6" ht="30">
      <c r="A602" s="2" t="s">
        <v>3334</v>
      </c>
      <c r="B602" s="1" t="s">
        <v>3335</v>
      </c>
      <c r="C602" s="1" t="s">
        <v>3336</v>
      </c>
      <c r="D602" s="1" t="s">
        <v>5256</v>
      </c>
      <c r="F602" s="6" t="str">
        <f>HYPERLINK("https://www.gptc.edu/current-students/campus-services-amenities/library/")</f>
        <v>https://www.gptc.edu/current-students/campus-services-amenities/library/</v>
      </c>
    </row>
    <row r="603" spans="1:6" ht="30">
      <c r="A603" s="2" t="s">
        <v>3337</v>
      </c>
      <c r="B603" s="1" t="s">
        <v>3338</v>
      </c>
      <c r="C603" s="1" t="s">
        <v>3339</v>
      </c>
      <c r="D603" s="1" t="s">
        <v>5256</v>
      </c>
      <c r="F603" s="6" t="str">
        <f>HYPERLINK("https://www.gptc.edu/current-students/campus-services-amenities/library/")</f>
        <v>https://www.gptc.edu/current-students/campus-services-amenities/library/</v>
      </c>
    </row>
    <row r="604" spans="1:6" ht="15">
      <c r="A604" s="2" t="s">
        <v>3846</v>
      </c>
      <c r="B604" s="1" t="s">
        <v>3847</v>
      </c>
      <c r="C604" s="1" t="s">
        <v>3848</v>
      </c>
      <c r="E604" s="5" t="str">
        <f>HYPERLINK("mailto:President@georgiapoetrysociety.org","President@georgiapoetrysociety.org")</f>
        <v>President@georgiapoetrysociety.org</v>
      </c>
      <c r="F604" s="6" t="str">
        <f>HYPERLINK("https://georgiapoetrysociety.org/")</f>
        <v>https://georgiapoetrysociety.org/</v>
      </c>
    </row>
    <row r="605" spans="1:8" ht="15">
      <c r="A605" s="2" t="s">
        <v>320</v>
      </c>
      <c r="B605" s="1" t="s">
        <v>321</v>
      </c>
      <c r="C605" s="1" t="s">
        <v>322</v>
      </c>
      <c r="D605" s="1" t="s">
        <v>4369</v>
      </c>
      <c r="E605" s="5" t="str">
        <f>HYPERLINK("mailto:webmaster@georgialibraries.org","webmaster@georgialibraries.org")</f>
        <v>webmaster@georgialibraries.org</v>
      </c>
      <c r="F605" s="6" t="str">
        <f>HYPERLINK("http://www.georgialibraries.org")</f>
        <v>http://www.georgialibraries.org</v>
      </c>
      <c r="H605" s="5" t="str">
        <f>HYPERLINK("https://twitter.com/georgialibs")</f>
        <v>https://twitter.com/georgialibs</v>
      </c>
    </row>
    <row r="606" spans="1:7" ht="15">
      <c r="A606" s="2" t="s">
        <v>586</v>
      </c>
      <c r="B606" s="1" t="s">
        <v>587</v>
      </c>
      <c r="C606" s="1" t="s">
        <v>588</v>
      </c>
      <c r="F606" s="6" t="str">
        <f>HYPERLINK("http://www.grhof.com/")</f>
        <v>http://www.grhof.com/</v>
      </c>
      <c r="G606" s="5" t="str">
        <f>HYPERLINK("https://www.facebook.com/Georgia-Radio-Hall-of-Fame-1622244088079722")</f>
        <v>https://www.facebook.com/Georgia-Radio-Hall-of-Fame-1622244088079722</v>
      </c>
    </row>
    <row r="607" spans="1:6" ht="15">
      <c r="A607" s="2" t="s">
        <v>3672</v>
      </c>
      <c r="B607" s="1" t="s">
        <v>3673</v>
      </c>
      <c r="C607" s="1" t="s">
        <v>3674</v>
      </c>
      <c r="D607" s="1" t="s">
        <v>5346</v>
      </c>
      <c r="F607" s="6" t="str">
        <f>HYPERLINK("https://www.garetirededucators.org/index.php/about/museum")</f>
        <v>https://www.garetirededucators.org/index.php/about/museum</v>
      </c>
    </row>
    <row r="608" spans="1:6" ht="15">
      <c r="A608" s="2" t="s">
        <v>589</v>
      </c>
      <c r="B608" s="1" t="s">
        <v>590</v>
      </c>
      <c r="C608" s="1" t="s">
        <v>591</v>
      </c>
      <c r="D608" s="1" t="s">
        <v>4444</v>
      </c>
      <c r="F608" s="6" t="str">
        <f>HYPERLINK("http://grtm.org/")</f>
        <v>http://grtm.org/</v>
      </c>
    </row>
    <row r="609" spans="1:6" ht="15">
      <c r="A609" s="2" t="s">
        <v>264</v>
      </c>
      <c r="B609" s="1" t="s">
        <v>265</v>
      </c>
      <c r="C609" s="1" t="s">
        <v>266</v>
      </c>
      <c r="D609" s="1" t="s">
        <v>4355</v>
      </c>
      <c r="E609" s="5" t="str">
        <f>HYPERLINK("mailto:gaslzbrgr@aol.com","gaslzbrgr@aol.com")</f>
        <v>gaslzbrgr@aol.com</v>
      </c>
      <c r="F609" s="6" t="str">
        <f>HYPERLINK("http://visitebenezer.com/georgia-salzburger-society/")</f>
        <v>http://visitebenezer.com/georgia-salzburger-society/</v>
      </c>
    </row>
    <row r="610" spans="1:6" ht="15">
      <c r="A610" s="2" t="s">
        <v>2663</v>
      </c>
      <c r="F610" s="6" t="str">
        <f>HYPERLINK("https://mayflowerga.net/index.html")</f>
        <v>https://mayflowerga.net/index.html</v>
      </c>
    </row>
    <row r="611" spans="1:6" ht="15">
      <c r="A611" s="2" t="s">
        <v>2664</v>
      </c>
      <c r="F611" s="6" t="str">
        <f>HYPERLINK("https://nsdch.org/public/")</f>
        <v>https://nsdch.org/public/</v>
      </c>
    </row>
    <row r="612" spans="1:6" ht="30">
      <c r="A612" s="2" t="s">
        <v>2665</v>
      </c>
      <c r="F612" s="6" t="str">
        <f>HYPERLINK("https://www.saratlanta.org/")</f>
        <v>https://www.saratlanta.org/</v>
      </c>
    </row>
    <row r="613" spans="1:3" ht="15">
      <c r="A613" s="2" t="s">
        <v>592</v>
      </c>
      <c r="C613" s="1" t="s">
        <v>593</v>
      </c>
    </row>
    <row r="614" spans="1:8" ht="15">
      <c r="A614" s="2" t="s">
        <v>1804</v>
      </c>
      <c r="B614" s="1" t="s">
        <v>1805</v>
      </c>
      <c r="C614" s="1" t="s">
        <v>1806</v>
      </c>
      <c r="D614" s="1" t="s">
        <v>4814</v>
      </c>
      <c r="E614" s="5" t="str">
        <f>HYPERLINK("mailto:btharp@georgiasouthern.edu","btharp@georgiasouthern.edu")</f>
        <v>btharp@georgiasouthern.edu</v>
      </c>
      <c r="F614" s="6" t="str">
        <f>HYPERLINK("https://academics.georgiasouthern.edu/museum/")</f>
        <v>https://academics.georgiasouthern.edu/museum/</v>
      </c>
      <c r="G614" s="5" t="str">
        <f>HYPERLINK("https://www.facebook.com/GeorgiaSouthernMuseum")</f>
        <v>https://www.facebook.com/GeorgiaSouthernMuseum</v>
      </c>
      <c r="H614" s="5" t="str">
        <f>HYPERLINK("https://twitter.com/Georgiacetus")</f>
        <v>https://twitter.com/Georgiacetus</v>
      </c>
    </row>
    <row r="615" spans="1:6" ht="15">
      <c r="A615" s="2" t="s">
        <v>594</v>
      </c>
      <c r="B615" s="1" t="s">
        <v>595</v>
      </c>
      <c r="C615" s="1" t="s">
        <v>596</v>
      </c>
      <c r="D615" s="1" t="s">
        <v>4445</v>
      </c>
      <c r="E615" s="5" t="str">
        <f>HYPERLINK("mailto:jimm@gshf.org","jimm@gshf.org")</f>
        <v>jimm@gshf.org</v>
      </c>
      <c r="F615" s="6" t="str">
        <f>HYPERLINK("https://www.georgiasportshalloffame.com/")</f>
        <v>https://www.georgiasportshalloffame.com/</v>
      </c>
    </row>
    <row r="616" spans="1:6" ht="15">
      <c r="A616" s="2" t="s">
        <v>3675</v>
      </c>
      <c r="B616" s="1" t="s">
        <v>3676</v>
      </c>
      <c r="C616" s="1" t="s">
        <v>3677</v>
      </c>
      <c r="D616" s="1" t="s">
        <v>5347</v>
      </c>
      <c r="F616" s="6" t="str">
        <f>HYPERLINK("https://www.cityofvienna.org/Attractions.aspx")</f>
        <v>https://www.cityofvienna.org/Attractions.aspx</v>
      </c>
    </row>
    <row r="617" spans="1:3" ht="15">
      <c r="A617" s="2" t="s">
        <v>3678</v>
      </c>
      <c r="B617" s="1" t="s">
        <v>3679</v>
      </c>
      <c r="C617" s="1" t="s">
        <v>3680</v>
      </c>
    </row>
    <row r="618" spans="1:6" ht="15">
      <c r="A618" s="2" t="s">
        <v>1956</v>
      </c>
      <c r="B618" s="1" t="s">
        <v>1957</v>
      </c>
      <c r="C618" s="1" t="s">
        <v>1958</v>
      </c>
      <c r="D618" s="1" t="s">
        <v>4862</v>
      </c>
      <c r="E618" s="5" t="str">
        <f>HYPERLINK("mailto:admin@chsgeorgia.org","admin@chsgeorgia.org")</f>
        <v>admin@chsgeorgia.org</v>
      </c>
      <c r="F618" s="6" t="str">
        <f>HYPERLINK("http://www.chsgeorgia.org/GSRM")</f>
        <v>http://www.chsgeorgia.org/GSRM</v>
      </c>
    </row>
    <row r="619" spans="1:6" ht="30">
      <c r="A619" s="2" t="s">
        <v>2685</v>
      </c>
      <c r="B619" s="1" t="s">
        <v>722</v>
      </c>
      <c r="C619" s="1" t="s">
        <v>723</v>
      </c>
      <c r="D619" s="1" t="s">
        <v>5071</v>
      </c>
      <c r="F619" s="6" t="str">
        <f>HYPERLINK("http://georgiastatedar.org/")</f>
        <v>http://georgiastatedar.org/</v>
      </c>
    </row>
    <row r="620" spans="1:6" ht="30">
      <c r="A620" s="2" t="s">
        <v>2829</v>
      </c>
      <c r="F620" s="6" t="str">
        <f>HYPERLINK("https://usdaughters1812.org/sites/georgia/")</f>
        <v>https://usdaughters1812.org/sites/georgia/</v>
      </c>
    </row>
    <row r="621" spans="1:6" ht="30">
      <c r="A621" s="2" t="s">
        <v>3172</v>
      </c>
      <c r="B621" s="1" t="s">
        <v>3173</v>
      </c>
      <c r="C621" s="1" t="s">
        <v>3174</v>
      </c>
      <c r="D621" s="1" t="s">
        <v>5211</v>
      </c>
      <c r="F621" s="6" t="str">
        <f>HYPERLINK("https://library.gsu.edu/about/visit-the-library/#1562942137013-fa298aac-54b2")</f>
        <v>https://library.gsu.edu/about/visit-the-library/#1562942137013-fa298aac-54b2</v>
      </c>
    </row>
    <row r="622" spans="1:6" ht="15">
      <c r="A622" s="2" t="s">
        <v>597</v>
      </c>
      <c r="B622" s="1" t="s">
        <v>598</v>
      </c>
      <c r="C622" s="1" t="s">
        <v>599</v>
      </c>
      <c r="D622" s="1" t="s">
        <v>4446</v>
      </c>
      <c r="F622" s="6" t="str">
        <f>HYPERLINK("https://library.gsu.edu/")</f>
        <v>https://library.gsu.edu/</v>
      </c>
    </row>
    <row r="623" spans="1:6" ht="30">
      <c r="A623" s="2" t="s">
        <v>3166</v>
      </c>
      <c r="B623" s="1" t="s">
        <v>3167</v>
      </c>
      <c r="C623" s="1" t="s">
        <v>3168</v>
      </c>
      <c r="D623" s="1" t="s">
        <v>5209</v>
      </c>
      <c r="F623" s="6" t="str">
        <f>HYPERLINK("https://library.gsu.edu/about/visit-the-library/#1562947764951-c52238bc-1f8c")</f>
        <v>https://library.gsu.edu/about/visit-the-library/#1562947764951-c52238bc-1f8c</v>
      </c>
    </row>
    <row r="624" spans="1:6" ht="15">
      <c r="A624" s="2" t="s">
        <v>3185</v>
      </c>
      <c r="B624" s="1" t="s">
        <v>3186</v>
      </c>
      <c r="C624" s="1" t="s">
        <v>3187</v>
      </c>
      <c r="D624" s="1" t="s">
        <v>5214</v>
      </c>
      <c r="F624" s="6" t="str">
        <f>HYPERLINK("https://lawlibrary.gsu.edu/")</f>
        <v>https://lawlibrary.gsu.edu/</v>
      </c>
    </row>
    <row r="625" spans="1:6" ht="30">
      <c r="A625" s="2" t="s">
        <v>3169</v>
      </c>
      <c r="B625" s="1" t="s">
        <v>3170</v>
      </c>
      <c r="C625" s="1" t="s">
        <v>3171</v>
      </c>
      <c r="D625" s="1" t="s">
        <v>5210</v>
      </c>
      <c r="F625" s="6" t="str">
        <f>HYPERLINK("https://library.gsu.edu/about/visit-the-library/#1562947779161-967314b5-3a41")</f>
        <v>https://library.gsu.edu/about/visit-the-library/#1562947779161-967314b5-3a41</v>
      </c>
    </row>
    <row r="626" spans="1:6" ht="30">
      <c r="A626" s="2" t="s">
        <v>3175</v>
      </c>
      <c r="B626" s="1" t="s">
        <v>3176</v>
      </c>
      <c r="C626" s="1" t="s">
        <v>3177</v>
      </c>
      <c r="D626" s="1" t="s">
        <v>5212</v>
      </c>
      <c r="F626" s="6" t="str">
        <f>HYPERLINK("https://library.gsu.edu/about/visit-the-library/#1562947790028-f37a84ab-4e87")</f>
        <v>https://library.gsu.edu/about/visit-the-library/#1562947790028-f37a84ab-4e87</v>
      </c>
    </row>
    <row r="627" spans="1:6" ht="30">
      <c r="A627" s="2" t="s">
        <v>3178</v>
      </c>
      <c r="B627" s="1" t="s">
        <v>3179</v>
      </c>
      <c r="C627" s="1" t="s">
        <v>3180</v>
      </c>
      <c r="D627" s="1" t="s">
        <v>5213</v>
      </c>
      <c r="F627" s="6" t="str">
        <f>HYPERLINK("https://library.gsu.edu/about/visit-the-library/#1562947801615-6331bb24-5bc0")</f>
        <v>https://library.gsu.edu/about/visit-the-library/#1562947801615-6331bb24-5bc0</v>
      </c>
    </row>
    <row r="628" spans="1:6" ht="15">
      <c r="A628" s="2" t="s">
        <v>2686</v>
      </c>
      <c r="B628" s="1" t="s">
        <v>598</v>
      </c>
      <c r="C628" s="1" t="s">
        <v>2687</v>
      </c>
      <c r="D628" s="1" t="s">
        <v>5072</v>
      </c>
      <c r="E628" s="5" t="str">
        <f>HYPERLINK("mailto:archives@gsu.edu","archives@gsu.edu")</f>
        <v>archives@gsu.edu</v>
      </c>
      <c r="F628" s="6" t="str">
        <f>HYPERLINK("https://library.gsu.edu/special-collections/")</f>
        <v>https://library.gsu.edu/special-collections/</v>
      </c>
    </row>
    <row r="629" spans="1:6" ht="15">
      <c r="A629" s="2" t="s">
        <v>600</v>
      </c>
      <c r="B629" s="1" t="s">
        <v>601</v>
      </c>
      <c r="C629" s="1" t="s">
        <v>602</v>
      </c>
      <c r="D629" s="1" t="s">
        <v>4447</v>
      </c>
      <c r="F629" s="6" t="str">
        <f>HYPERLINK("https://www.library.gatech.edu/")</f>
        <v>https://www.library.gatech.edu/</v>
      </c>
    </row>
    <row r="630" spans="1:6" ht="15">
      <c r="A630" s="2" t="s">
        <v>3854</v>
      </c>
      <c r="B630" s="1" t="s">
        <v>340</v>
      </c>
      <c r="C630" s="1" t="s">
        <v>3855</v>
      </c>
      <c r="F630" s="6" t="str">
        <f>HYPERLINK("https://georgiatheatreweb.wixsite.com/gtc-website")</f>
        <v>https://georgiatheatreweb.wixsite.com/gtc-website</v>
      </c>
    </row>
    <row r="631" spans="1:8" ht="15">
      <c r="A631" s="2" t="s">
        <v>603</v>
      </c>
      <c r="B631" s="1" t="s">
        <v>604</v>
      </c>
      <c r="D631" s="1" t="s">
        <v>4448</v>
      </c>
      <c r="E631" s="5" t="str">
        <f>HYPERLINK("mailto:info@georgiatrust.org","info@georgiatrust.org")</f>
        <v>info@georgiatrust.org</v>
      </c>
      <c r="F631" s="6" t="str">
        <f>HYPERLINK("http://www.georgiatrust.org")</f>
        <v>http://www.georgiatrust.org</v>
      </c>
      <c r="H631" s="5" t="str">
        <f>HYPERLINK("https://twitter.com/thegeorgiatrust")</f>
        <v>https://twitter.com/thegeorgiatrust</v>
      </c>
    </row>
    <row r="632" spans="1:6" ht="15">
      <c r="A632" s="2" t="s">
        <v>605</v>
      </c>
      <c r="B632" s="1" t="s">
        <v>606</v>
      </c>
      <c r="C632" s="1" t="s">
        <v>607</v>
      </c>
      <c r="D632" s="1" t="s">
        <v>4449</v>
      </c>
      <c r="F632" s="6" t="str">
        <f>HYPERLINK("https://www.lakeblackshearresort.com/ga-veterans-park/")</f>
        <v>https://www.lakeblackshearresort.com/ga-veterans-park/</v>
      </c>
    </row>
    <row r="633" spans="1:6" ht="15">
      <c r="A633" s="2" t="s">
        <v>3856</v>
      </c>
      <c r="E633" s="5" t="str">
        <f>HYPERLINK("mailto:georgiawatercolorsociety@gmail.com","georgiawatercolorsociety@gmail.com")</f>
        <v>georgiawatercolorsociety@gmail.com</v>
      </c>
      <c r="F633" s="6" t="str">
        <f>HYPERLINK("http://georgiawatercolorsociety.com/")</f>
        <v>http://georgiawatercolorsociety.com/</v>
      </c>
    </row>
    <row r="634" spans="1:7" ht="15">
      <c r="A634" s="2" t="s">
        <v>608</v>
      </c>
      <c r="B634" s="1" t="s">
        <v>609</v>
      </c>
      <c r="C634" s="1" t="s">
        <v>610</v>
      </c>
      <c r="D634" s="1" t="s">
        <v>4450</v>
      </c>
      <c r="F634" s="6" t="str">
        <f>HYPERLINK("https://www.georgiawriters.org/")</f>
        <v>https://www.georgiawriters.org/</v>
      </c>
      <c r="G634" s="5" t="str">
        <f>HYPERLINK("https://www.facebook.com/GeorgiaWritersAssociation")</f>
        <v>https://www.facebook.com/GeorgiaWritersAssociation</v>
      </c>
    </row>
    <row r="635" spans="1:6" ht="15">
      <c r="A635" s="2" t="s">
        <v>3681</v>
      </c>
      <c r="B635" s="1" t="s">
        <v>3682</v>
      </c>
      <c r="C635" s="1" t="s">
        <v>3683</v>
      </c>
      <c r="D635" s="1" t="s">
        <v>5348</v>
      </c>
      <c r="F635" s="6" t="str">
        <f>HYPERLINK("https://www.georgiawritersmuseum.com/")</f>
        <v>https://www.georgiawritersmuseum.com/</v>
      </c>
    </row>
    <row r="636" spans="1:7" ht="15">
      <c r="A636" s="2" t="s">
        <v>1810</v>
      </c>
      <c r="B636" s="1" t="s">
        <v>1811</v>
      </c>
      <c r="C636" s="1" t="s">
        <v>1812</v>
      </c>
      <c r="D636" s="1" t="s">
        <v>4816</v>
      </c>
      <c r="E636" s="5" t="str">
        <f>HYPERLINK("mailto:contact-mwade@thedepotga.org","contact-mwade@thedepotga.org")</f>
        <v>contact-mwade@thedepotga.org</v>
      </c>
      <c r="F636" s="6" t="str">
        <f>HYPERLINK("https://www.thedepotga.org/")</f>
        <v>https://www.thedepotga.org/</v>
      </c>
      <c r="G636" s="5" t="str">
        <f>HYPERLINK("https://www.facebook.com/OldCapitalMuseum")</f>
        <v>https://www.facebook.com/OldCapitalMuseum</v>
      </c>
    </row>
    <row r="637" spans="1:6" ht="15">
      <c r="A637" s="2" t="s">
        <v>4141</v>
      </c>
      <c r="B637" s="1" t="s">
        <v>1811</v>
      </c>
      <c r="C637" s="1" t="s">
        <v>4142</v>
      </c>
      <c r="D637" s="1" t="s">
        <v>4816</v>
      </c>
      <c r="E637" s="5" t="str">
        <f>HYPERLINK("mailto:awright@oldcapitalmuseum.org","awright@oldcapitalmuseum.org")</f>
        <v>awright@oldcapitalmuseum.org</v>
      </c>
      <c r="F637" s="6" t="str">
        <f>HYPERLINK("https://chamberorganizer.com/MBCC/mem_oldcapitalmuseu")</f>
        <v>https://chamberorganizer.com/MBCC/mem_oldcapitalmuseu</v>
      </c>
    </row>
    <row r="638" spans="1:7" ht="15">
      <c r="A638" s="2" t="s">
        <v>3684</v>
      </c>
      <c r="B638" s="1" t="s">
        <v>3685</v>
      </c>
      <c r="C638" s="1" t="s">
        <v>3686</v>
      </c>
      <c r="D638" s="1" t="s">
        <v>5349</v>
      </c>
      <c r="F638" s="6" t="str">
        <f>HYPERLINK("https://parks.columbusga.gov/Parks/MA-Rainey-Home")</f>
        <v>https://parks.columbusga.gov/Parks/MA-Rainey-Home</v>
      </c>
      <c r="G638" s="5" t="str">
        <f>HYPERLINK("https://www.facebook.com/MaRaineyHouse")</f>
        <v>https://www.facebook.com/MaRaineyHouse</v>
      </c>
    </row>
    <row r="639" spans="1:6" ht="15">
      <c r="A639" s="2" t="s">
        <v>1012</v>
      </c>
      <c r="B639" s="1" t="s">
        <v>1013</v>
      </c>
      <c r="C639" s="1" t="s">
        <v>1014</v>
      </c>
      <c r="D639" s="1" t="s">
        <v>4575</v>
      </c>
      <c r="F639" s="6" t="str">
        <f>HYPERLINK("http://www.swgrl.org/locations-staff/decatur/")</f>
        <v>http://www.swgrl.org/locations-staff/decatur/</v>
      </c>
    </row>
    <row r="640" spans="1:7" ht="15">
      <c r="A640" s="2" t="s">
        <v>1813</v>
      </c>
      <c r="B640" s="1" t="s">
        <v>1814</v>
      </c>
      <c r="C640" s="1" t="s">
        <v>1815</v>
      </c>
      <c r="D640" s="1" t="s">
        <v>4817</v>
      </c>
      <c r="E640" s="5" t="str">
        <f>HYPERLINK("mailto:PresHist@etcmail.com","PresHist@etcmail.com")</f>
        <v>PresHist@etcmail.com</v>
      </c>
      <c r="F640" s="6" t="str">
        <f>HYPERLINK("http://www.gilmercountyhistoricalsociety.org/")</f>
        <v>http://www.gilmercountyhistoricalsociety.org/</v>
      </c>
      <c r="G640" s="5" t="str">
        <f>HYPERLINK("https://www.facebook.com/TaborHouseCivilWarMuseum")</f>
        <v>https://www.facebook.com/TaborHouseCivilWarMuseum</v>
      </c>
    </row>
    <row r="641" spans="1:6" ht="15">
      <c r="A641" s="2" t="s">
        <v>895</v>
      </c>
      <c r="B641" s="1" t="s">
        <v>896</v>
      </c>
      <c r="C641" s="1" t="s">
        <v>897</v>
      </c>
      <c r="D641" s="1" t="s">
        <v>4537</v>
      </c>
      <c r="E641" s="5" t="str">
        <f>HYPERLINK("mailto:leeh@seqlib.org","leeh@seqlib.org")</f>
        <v>leeh@seqlib.org</v>
      </c>
      <c r="F641" s="6" t="str">
        <f>HYPERLINK("https://www.sequoyahregionallibrary.org/gilmer/")</f>
        <v>https://www.sequoyahregionallibrary.org/gilmer/</v>
      </c>
    </row>
    <row r="642" spans="1:7" ht="30">
      <c r="A642" s="2" t="s">
        <v>2378</v>
      </c>
      <c r="B642" s="1" t="s">
        <v>2379</v>
      </c>
      <c r="C642" s="1" t="s">
        <v>2380</v>
      </c>
      <c r="D642" s="1" t="s">
        <v>4977</v>
      </c>
      <c r="E642" s="5" t="str">
        <f>HYPERLINK("mailto:gshg@gshg.org","gshg@gshg.org")</f>
        <v>gshg@gshg.org</v>
      </c>
      <c r="F642" s="6" t="str">
        <f>HYPERLINK("https://www.gshg.org/en/our-council/girl-scout-first-headquarters.html")</f>
        <v>https://www.gshg.org/en/our-council/girl-scout-first-headquarters.html</v>
      </c>
      <c r="G642" s="5" t="str">
        <f>HYPERLINK("https://www.facebook.com/GirlScoutsHistoricGeorgia")</f>
        <v>https://www.facebook.com/GirlScoutsHistoricGeorgia</v>
      </c>
    </row>
    <row r="643" spans="1:6" ht="15">
      <c r="A643" s="2" t="s">
        <v>1474</v>
      </c>
      <c r="B643" s="1" t="s">
        <v>1475</v>
      </c>
      <c r="C643" s="1" t="s">
        <v>1476</v>
      </c>
      <c r="D643" s="1" t="s">
        <v>4722</v>
      </c>
      <c r="F643" s="6" t="str">
        <f>HYPERLINK("http://tcpls.org/locations-hours")</f>
        <v>http://tcpls.org/locations-hours</v>
      </c>
    </row>
    <row r="644" spans="1:6" ht="15">
      <c r="A644" s="2" t="s">
        <v>1297</v>
      </c>
      <c r="B644" s="1" t="s">
        <v>1298</v>
      </c>
      <c r="C644" s="1" t="s">
        <v>1299</v>
      </c>
      <c r="D644" s="1" t="s">
        <v>4664</v>
      </c>
      <c r="F644" s="6" t="str">
        <f>HYPERLINK("http://www.ocrl.org/gc-home")</f>
        <v>http://www.ocrl.org/gc-home</v>
      </c>
    </row>
    <row r="645" spans="1:6" ht="15">
      <c r="A645" s="2" t="s">
        <v>1537</v>
      </c>
      <c r="B645" s="1" t="s">
        <v>1538</v>
      </c>
      <c r="C645" s="1" t="s">
        <v>1539</v>
      </c>
      <c r="D645" s="1" t="s">
        <v>4743</v>
      </c>
      <c r="E645" s="5" t="str">
        <f>HYPERLINK("mailto:glennvillelib@ohoopeelibrary.org","glennvillelib@ohoopeelibrary.org")</f>
        <v>glennvillelib@ohoopeelibrary.org</v>
      </c>
      <c r="F645" s="6" t="str">
        <f>HYPERLINK("https://ohoopeelibrary.org/locations/glennville/")</f>
        <v>https://ohoopeelibrary.org/locations/glennville/</v>
      </c>
    </row>
    <row r="646" spans="1:8" ht="15">
      <c r="A646" s="2" t="s">
        <v>4143</v>
      </c>
      <c r="B646" s="1" t="s">
        <v>4144</v>
      </c>
      <c r="C646" s="1" t="s">
        <v>4145</v>
      </c>
      <c r="D646" s="1" t="s">
        <v>5476</v>
      </c>
      <c r="E646" s="5" t="str">
        <f>HYPERLINK("mailto:info@gloatl.org","info@gloatl.org")</f>
        <v>info@gloatl.org</v>
      </c>
      <c r="F646" s="6" t="str">
        <f>HYPERLINK("https://gloatl.org/")</f>
        <v>https://gloatl.org/</v>
      </c>
      <c r="G646" s="5" t="str">
        <f>HYPERLINK("https://www.facebook.com/gloATL")</f>
        <v>https://www.facebook.com/gloATL</v>
      </c>
      <c r="H646" s="5" t="str">
        <f>HYPERLINK("https://twitter.com/gloATL")</f>
        <v>https://twitter.com/gloATL</v>
      </c>
    </row>
    <row r="647" spans="1:6" ht="15">
      <c r="A647" s="2" t="s">
        <v>3877</v>
      </c>
      <c r="B647" s="1" t="s">
        <v>3878</v>
      </c>
      <c r="C647" s="1" t="s">
        <v>3879</v>
      </c>
      <c r="D647" s="1" t="s">
        <v>5394</v>
      </c>
      <c r="F647" s="6" t="str">
        <f>HYPERLINK("https://glynnvisualarts.org/")</f>
        <v>https://glynnvisualarts.org/</v>
      </c>
    </row>
    <row r="648" spans="1:6" ht="15">
      <c r="A648" s="2" t="s">
        <v>696</v>
      </c>
      <c r="C648" s="1" t="s">
        <v>697</v>
      </c>
      <c r="F648" s="6" t="str">
        <f>HYPERLINK("http://business.library.emory.edu/")</f>
        <v>http://business.library.emory.edu/</v>
      </c>
    </row>
    <row r="649" spans="1:6" ht="15">
      <c r="A649" s="2" t="s">
        <v>3763</v>
      </c>
      <c r="B649" s="1" t="s">
        <v>3764</v>
      </c>
      <c r="C649" s="1" t="s">
        <v>3765</v>
      </c>
      <c r="D649" s="1" t="s">
        <v>5367</v>
      </c>
      <c r="F649" s="6" t="str">
        <f>HYPERLINK("http://www.goldcrossems.com/AmbulanceCollection")</f>
        <v>http://www.goldcrossems.com/AmbulanceCollection</v>
      </c>
    </row>
    <row r="650" spans="1:6" ht="15">
      <c r="A650" s="2" t="s">
        <v>3874</v>
      </c>
      <c r="B650" s="1" t="s">
        <v>3875</v>
      </c>
      <c r="C650" s="1" t="s">
        <v>3876</v>
      </c>
      <c r="F650" s="6" t="str">
        <f>HYPERLINK("https://goldenislesarts.org/")</f>
        <v>https://goldenislesarts.org/</v>
      </c>
    </row>
    <row r="651" spans="1:6" ht="15">
      <c r="A651" s="2" t="s">
        <v>3687</v>
      </c>
      <c r="B651" s="1" t="s">
        <v>3688</v>
      </c>
      <c r="C651" s="1" t="s">
        <v>3689</v>
      </c>
      <c r="D651" s="1" t="s">
        <v>5350</v>
      </c>
      <c r="E651" s="5" t="str">
        <f>HYPERLINK("mailto:csutherland@mariettaga.gov","csutherland@mariettaga.gov")</f>
        <v>csutherland@mariettaga.gov</v>
      </c>
      <c r="F651" s="6" t="str">
        <f>HYPERLINK("http://www.gwtwmarietta.com")</f>
        <v>http://www.gwtwmarietta.com</v>
      </c>
    </row>
    <row r="652" spans="1:7" ht="30">
      <c r="A652" s="2" t="s">
        <v>2669</v>
      </c>
      <c r="B652" s="1" t="s">
        <v>2670</v>
      </c>
      <c r="C652" s="1" t="s">
        <v>2671</v>
      </c>
      <c r="E652" s="5" t="str">
        <f>HYPERLINK("mailto:gordoncountyhistoricalsociety@gmail.com","gordoncountyhistoricalsociety@gmail.com")</f>
        <v>gordoncountyhistoricalsociety@gmail.com</v>
      </c>
      <c r="F652" s="6" t="str">
        <f>HYPERLINK("https://gordoncounty.org/government/volunteer-boards/historical-society/")</f>
        <v>https://gordoncounty.org/government/volunteer-boards/historical-society/</v>
      </c>
      <c r="G652" s="5" t="str">
        <f>HYPERLINK("https://www.facebook.com/Gordon-County-Historical-Society-Inc-121792127830973")</f>
        <v>https://www.facebook.com/Gordon-County-Historical-Society-Inc-121792127830973</v>
      </c>
    </row>
    <row r="653" spans="1:6" ht="15">
      <c r="A653" s="2" t="s">
        <v>2174</v>
      </c>
      <c r="B653" s="1" t="s">
        <v>2175</v>
      </c>
      <c r="C653" s="1" t="s">
        <v>2176</v>
      </c>
      <c r="D653" s="1" t="s">
        <v>4922</v>
      </c>
      <c r="F653" s="6" t="str">
        <f>HYPERLINK("http://bibblib.org/locations/gordon-public-library/")</f>
        <v>http://bibblib.org/locations/gordon-public-library/</v>
      </c>
    </row>
    <row r="654" spans="1:6" ht="15">
      <c r="A654" s="2" t="s">
        <v>621</v>
      </c>
      <c r="B654" s="1" t="s">
        <v>622</v>
      </c>
      <c r="C654" s="1" t="s">
        <v>623</v>
      </c>
      <c r="D654" s="1" t="s">
        <v>4452</v>
      </c>
      <c r="E654" s="5" t="str">
        <f>HYPERLINK("mailto:fiftyfourevents@gmail.com","fiftyfourevents@gmail.com")</f>
        <v>fiftyfourevents@gmail.com</v>
      </c>
      <c r="F654" s="6" t="str">
        <f>HYPERLINK("http://leeandgordonsmills.com/")</f>
        <v>http://leeandgordonsmills.com/</v>
      </c>
    </row>
    <row r="655" spans="1:6" ht="15">
      <c r="A655" s="2" t="s">
        <v>2672</v>
      </c>
      <c r="B655" s="1" t="s">
        <v>2673</v>
      </c>
      <c r="C655" s="1" t="s">
        <v>2674</v>
      </c>
      <c r="D655" s="1" t="s">
        <v>5066</v>
      </c>
      <c r="E655" s="5" t="str">
        <f>HYPERLINK("mailto:gradyhistory@syrupcity.net","gradyhistory@syrupcity.net")</f>
        <v>gradyhistory@syrupcity.net</v>
      </c>
      <c r="F655" s="6" t="str">
        <f>HYPERLINK("http://www.gradyhistorical.org/")</f>
        <v>http://www.gradyhistorical.org/</v>
      </c>
    </row>
    <row r="656" spans="1:7" ht="15">
      <c r="A656" s="2" t="s">
        <v>3690</v>
      </c>
      <c r="B656" s="1" t="s">
        <v>2673</v>
      </c>
      <c r="C656" s="1" t="s">
        <v>3691</v>
      </c>
      <c r="D656" s="1" t="s">
        <v>5066</v>
      </c>
      <c r="E656" s="5" t="str">
        <f>HYPERLINK("mailto:info@gradyhistory.org","info@gradyhistory.org")</f>
        <v>info@gradyhistory.org</v>
      </c>
      <c r="F656" s="6" t="str">
        <f>HYPERLINK("https://gradyhistory.org/")</f>
        <v>https://gradyhistory.org/</v>
      </c>
      <c r="G656" s="5" t="str">
        <f>HYPERLINK("https://www.facebook.com/GradyCountyHistory")</f>
        <v>https://www.facebook.com/GradyCountyHistory</v>
      </c>
    </row>
    <row r="657" spans="1:6" ht="30">
      <c r="A657" s="2" t="s">
        <v>1621</v>
      </c>
      <c r="B657" s="1" t="s">
        <v>1622</v>
      </c>
      <c r="C657" s="1" t="s">
        <v>1623</v>
      </c>
      <c r="D657" s="1" t="s">
        <v>4760</v>
      </c>
      <c r="F657" s="6" t="str">
        <f>HYPERLINK("http://cowt.ent.sirsi.net/client/en_US/default/?rm=GRANTVILLE+BRA1%7C%7C%7C1%7C%7C%7C0%7C%7C%7Ctrue&amp;dt=list")</f>
        <v>http://cowt.ent.sirsi.net/client/en_US/default/?rm=GRANTVILLE+BRA1%7C%7C%7C1%7C%7C%7C0%7C%7C%7Ctrue&amp;dt=list</v>
      </c>
    </row>
    <row r="658" spans="1:8" ht="15">
      <c r="A658" s="2" t="s">
        <v>123</v>
      </c>
      <c r="B658" s="1" t="s">
        <v>124</v>
      </c>
      <c r="C658" s="1" t="s">
        <v>125</v>
      </c>
      <c r="D658" s="1" t="s">
        <v>126</v>
      </c>
      <c r="E658" s="5" t="str">
        <f>HYPERLINK("mailto:graveface@gmail.com","graveface@gmail.com")</f>
        <v>graveface@gmail.com</v>
      </c>
      <c r="F658" s="6" t="str">
        <f>HYPERLINK("https://gravefacemuseum.com/")</f>
        <v>https://gravefacemuseum.com/</v>
      </c>
      <c r="G658" s="5" t="str">
        <f>HYPERLINK("https://www.facebook.com/gravefacemuseum")</f>
        <v>https://www.facebook.com/gravefacemuseum</v>
      </c>
      <c r="H658" s="5" t="str">
        <f>HYPERLINK("https://twitter.com/gravefacemuseum")</f>
        <v>https://twitter.com/gravefacemuseum</v>
      </c>
    </row>
    <row r="659" spans="1:6" ht="15">
      <c r="A659" s="2" t="s">
        <v>2298</v>
      </c>
      <c r="B659" s="1" t="s">
        <v>2299</v>
      </c>
      <c r="C659" s="1" t="s">
        <v>2300</v>
      </c>
      <c r="D659" s="1" t="s">
        <v>4645</v>
      </c>
      <c r="F659" s="6" t="str">
        <f>HYPERLINK("https://www.gwinnettpl.org/locations-and-hours/")</f>
        <v>https://www.gwinnettpl.org/locations-and-hours/</v>
      </c>
    </row>
    <row r="660" spans="1:6" ht="15">
      <c r="A660" s="2" t="s">
        <v>3862</v>
      </c>
      <c r="B660" s="1" t="s">
        <v>3863</v>
      </c>
      <c r="C660" s="1" t="s">
        <v>3864</v>
      </c>
      <c r="D660" s="1" t="s">
        <v>5391</v>
      </c>
      <c r="E660" s="5" t="str">
        <f>HYPERLINK("mailto:info@augustaarts.com","info@augustaarts.com")</f>
        <v>info@augustaarts.com</v>
      </c>
      <c r="F660" s="6" t="str">
        <f>HYPERLINK("https://augustaarts.com/")</f>
        <v>https://augustaarts.com/</v>
      </c>
    </row>
    <row r="661" spans="1:7" ht="15">
      <c r="A661" s="2" t="s">
        <v>103</v>
      </c>
      <c r="B661" s="1" t="s">
        <v>104</v>
      </c>
      <c r="C661" s="1" t="s">
        <v>105</v>
      </c>
      <c r="D661" s="1" t="s">
        <v>4319</v>
      </c>
      <c r="E661" s="5" t="str">
        <f>HYPERLINK("mailto:mamie@gcaam.org","mamie@gcaam.org")</f>
        <v>mamie@gcaam.org</v>
      </c>
      <c r="F661" s="6" t="str">
        <f>HYPERLINK("https://gcaam.org/")</f>
        <v>https://gcaam.org/</v>
      </c>
      <c r="G661" s="5" t="str">
        <f>HYPERLINK("https://www.facebook.com/gcaam.inc")</f>
        <v>https://www.facebook.com/gcaam.inc</v>
      </c>
    </row>
    <row r="662" spans="1:6" ht="30">
      <c r="A662" s="2" t="s">
        <v>2675</v>
      </c>
      <c r="B662" s="1" t="s">
        <v>2676</v>
      </c>
      <c r="C662" s="1" t="s">
        <v>2677</v>
      </c>
      <c r="D662" s="1" t="s">
        <v>5067</v>
      </c>
      <c r="F662" s="6" t="str">
        <f>HYPERLINK("https://visitlakeoconee.com/business/greene-county-history-museum/")</f>
        <v>https://visitlakeoconee.com/business/greene-county-history-museum/</v>
      </c>
    </row>
    <row r="663" spans="1:6" ht="15">
      <c r="A663" s="2" t="s">
        <v>2247</v>
      </c>
      <c r="B663" s="1" t="s">
        <v>2248</v>
      </c>
      <c r="C663" s="1" t="s">
        <v>2249</v>
      </c>
      <c r="D663" s="1" t="s">
        <v>4946</v>
      </c>
      <c r="E663" s="5" t="str">
        <f>HYPERLINK("mailto:jackie@uncleremus.org","jackie@uncleremus.org")</f>
        <v>jackie@uncleremus.org</v>
      </c>
      <c r="F663" s="6" t="str">
        <f>HYPERLINK("http://azalealibraries.org/greene.html")</f>
        <v>http://azalealibraries.org/greene.html</v>
      </c>
    </row>
    <row r="664" spans="1:6" ht="15">
      <c r="A664" s="2" t="s">
        <v>624</v>
      </c>
      <c r="B664" s="1" t="s">
        <v>625</v>
      </c>
      <c r="C664" s="1" t="s">
        <v>626</v>
      </c>
      <c r="D664" s="1" t="s">
        <v>4453</v>
      </c>
      <c r="E664" s="5" t="str">
        <f>HYPERLINK("mailto:info@stjohnssav.org","info@stjohnssav.org")</f>
        <v>info@stjohnssav.org</v>
      </c>
      <c r="F664" s="6" t="str">
        <f>HYPERLINK("http://stjohnssav.org/visit/green-meldrim-house/")</f>
        <v>http://stjohnssav.org/visit/green-meldrim-house/</v>
      </c>
    </row>
    <row r="665" spans="1:6" ht="30">
      <c r="A665" s="2" t="s">
        <v>1315</v>
      </c>
      <c r="B665" s="1" t="s">
        <v>1316</v>
      </c>
      <c r="C665" s="1" t="s">
        <v>1317</v>
      </c>
      <c r="D665" s="1" t="s">
        <v>4670</v>
      </c>
      <c r="E665" s="5" t="str">
        <f>HYPERLINK("mailto:kellis@pinemtnlibrary.org","kellis@pinemtnlibrary.org")</f>
        <v>kellis@pinemtnlibrary.org</v>
      </c>
      <c r="F665" s="6" t="str">
        <f>HYPERLINK("https://www.pinemtnlibrary.org/wordpress/index.php/hours-and-locations/meriwether-locations/greenville-area-public-library/")</f>
        <v>https://www.pinemtnlibrary.org/wordpress/index.php/hours-and-locations/meriwether-locations/greenville-area-public-library/</v>
      </c>
    </row>
    <row r="666" spans="1:6" ht="15">
      <c r="A666" s="2" t="s">
        <v>1078</v>
      </c>
      <c r="B666" s="1" t="s">
        <v>1079</v>
      </c>
      <c r="C666" s="1" t="s">
        <v>1080</v>
      </c>
      <c r="D666" s="1" t="s">
        <v>4597</v>
      </c>
      <c r="F666" s="6" t="str">
        <f>HYPERLINK("https://dekalblibrary.org/branches/gres")</f>
        <v>https://dekalblibrary.org/branches/gres</v>
      </c>
    </row>
    <row r="667" spans="1:6" ht="15">
      <c r="A667" s="2" t="s">
        <v>3692</v>
      </c>
      <c r="B667" s="1" t="s">
        <v>3452</v>
      </c>
      <c r="C667" s="1" t="s">
        <v>3693</v>
      </c>
      <c r="F667" s="6" t="str">
        <f>HYPERLINK("http://www.cityofgriffin.com/visitors/griffinmuseum.aspx")</f>
        <v>http://www.cityofgriffin.com/visitors/griffinmuseum.aspx</v>
      </c>
    </row>
    <row r="668" spans="1:6" ht="30">
      <c r="A668" s="2" t="s">
        <v>3451</v>
      </c>
      <c r="B668" s="1" t="s">
        <v>3452</v>
      </c>
      <c r="C668" s="1" t="s">
        <v>3453</v>
      </c>
      <c r="D668" s="1" t="s">
        <v>5293</v>
      </c>
      <c r="F668" s="6" t="str">
        <f>HYPERLINK("http://www.cityofgriffin.com/Departments/GriffinSpaldingArchives.aspx")</f>
        <v>http://www.cityofgriffin.com/Departments/GriffinSpaldingArchives.aspx</v>
      </c>
    </row>
    <row r="669" spans="1:6" ht="15">
      <c r="A669" s="2" t="s">
        <v>1420</v>
      </c>
      <c r="B669" s="1" t="s">
        <v>1421</v>
      </c>
      <c r="C669" s="1" t="s">
        <v>1422</v>
      </c>
      <c r="D669" s="1" t="s">
        <v>4704</v>
      </c>
      <c r="F669" s="6" t="str">
        <f>HYPERLINK("https://www.frrls.net/flint-river-slider/griffin-spalding-county-library")</f>
        <v>https://www.frrls.net/flint-river-slider/griffin-spalding-county-library</v>
      </c>
    </row>
    <row r="670" spans="1:7" ht="15">
      <c r="A670" s="2" t="s">
        <v>2681</v>
      </c>
      <c r="B670" s="1" t="s">
        <v>2682</v>
      </c>
      <c r="C670" s="1" t="s">
        <v>2683</v>
      </c>
      <c r="D670" s="1" t="s">
        <v>5069</v>
      </c>
      <c r="F670" s="6" t="str">
        <f>HYPERLINK("http://www.griffinhistory.com/")</f>
        <v>http://www.griffinhistory.com/</v>
      </c>
      <c r="G670" s="5" t="str">
        <f>HYPERLINK("https://www.facebook.com/griffinhistory")</f>
        <v>https://www.facebook.com/griffinhistory</v>
      </c>
    </row>
    <row r="671" spans="1:7" ht="15">
      <c r="A671" s="2" t="s">
        <v>3532</v>
      </c>
      <c r="B671" s="1" t="s">
        <v>3533</v>
      </c>
      <c r="C671" s="1" t="s">
        <v>3534</v>
      </c>
      <c r="D671" s="1" t="s">
        <v>4330</v>
      </c>
      <c r="F671" s="6" t="str">
        <f>HYPERLINK("http://explore.gastateparks.org/info/153653")</f>
        <v>http://explore.gastateparks.org/info/153653</v>
      </c>
      <c r="G671" s="5" t="str">
        <f>HYPERLINK("https://www.facebook.com/220165609304")</f>
        <v>https://www.facebook.com/220165609304</v>
      </c>
    </row>
    <row r="672" spans="1:6" ht="15">
      <c r="A672" s="2" t="s">
        <v>955</v>
      </c>
      <c r="B672" s="1" t="s">
        <v>956</v>
      </c>
      <c r="C672" s="1" t="s">
        <v>957</v>
      </c>
      <c r="D672" s="1" t="s">
        <v>4557</v>
      </c>
      <c r="F672" s="6" t="str">
        <f>HYPERLINK("http://www.cobbcat.org/venue/gritters-library/")</f>
        <v>http://www.cobbcat.org/venue/gritters-library/</v>
      </c>
    </row>
    <row r="673" spans="1:4" ht="15">
      <c r="A673" s="2" t="s">
        <v>3694</v>
      </c>
      <c r="B673" s="1" t="s">
        <v>3695</v>
      </c>
      <c r="C673" s="1" t="s">
        <v>3696</v>
      </c>
      <c r="D673" s="1" t="s">
        <v>5351</v>
      </c>
    </row>
    <row r="674" spans="1:6" ht="15">
      <c r="A674" s="2" t="s">
        <v>2684</v>
      </c>
      <c r="D674" s="1" t="s">
        <v>5070</v>
      </c>
      <c r="F674" s="6" t="str">
        <f>HYPERLINK("https://gualehs.blogspot.com/")</f>
        <v>https://gualehs.blogspot.com/</v>
      </c>
    </row>
    <row r="675" spans="1:4" ht="15">
      <c r="A675" s="2" t="s">
        <v>2699</v>
      </c>
      <c r="D675" s="1" t="s">
        <v>5076</v>
      </c>
    </row>
    <row r="676" spans="1:6" ht="15">
      <c r="A676" s="2" t="s">
        <v>239</v>
      </c>
      <c r="B676" s="1" t="s">
        <v>240</v>
      </c>
      <c r="C676" s="1" t="s">
        <v>241</v>
      </c>
      <c r="D676" s="1" t="s">
        <v>4350</v>
      </c>
      <c r="F676" s="6" t="str">
        <f>HYPERLINK("https://gwinnettehc.org/")</f>
        <v>https://gwinnettehc.org/</v>
      </c>
    </row>
    <row r="677" spans="1:6" ht="15">
      <c r="A677" s="2" t="s">
        <v>2700</v>
      </c>
      <c r="B677" s="1" t="s">
        <v>2701</v>
      </c>
      <c r="C677" s="1" t="s">
        <v>2702</v>
      </c>
      <c r="D677" s="1" t="s">
        <v>5077</v>
      </c>
      <c r="E677" s="5" t="str">
        <f>HYPERLINK("mailto:ghs@gwinnetths.org","ghs@gwinnetths.org")</f>
        <v>ghs@gwinnetths.org</v>
      </c>
      <c r="F677" s="6" t="str">
        <f>HYPERLINK("http://www.gwinnetths.org")</f>
        <v>http://www.gwinnetths.org</v>
      </c>
    </row>
    <row r="678" spans="1:6" ht="30">
      <c r="A678" s="2" t="s">
        <v>2703</v>
      </c>
      <c r="B678" s="1" t="s">
        <v>2704</v>
      </c>
      <c r="C678" s="1" t="s">
        <v>2705</v>
      </c>
      <c r="D678" s="1" t="s">
        <v>5078</v>
      </c>
      <c r="E678" s="5" t="str">
        <f>HYPERLINK("mailto:GwinnettHistoricRentals@gwinnettcounty.com","GwinnettHistoricRentals@gwinnettcounty.com")</f>
        <v>GwinnettHistoricRentals@gwinnettcounty.com</v>
      </c>
      <c r="F678" s="6" t="str">
        <f>HYPERLINK("https://www.gwinnettcounty.com/web/gwinnett/AboutGwinnett/ArtsandEntertainment/HistoryMuseum")</f>
        <v>https://www.gwinnettcounty.com/web/gwinnett/AboutGwinnett/ArtsandEntertainment/HistoryMuseum</v>
      </c>
    </row>
    <row r="679" spans="1:6" ht="30">
      <c r="A679" s="2" t="s">
        <v>3340</v>
      </c>
      <c r="B679" s="1" t="s">
        <v>3341</v>
      </c>
      <c r="C679" s="1" t="s">
        <v>3342</v>
      </c>
      <c r="D679" s="1" t="s">
        <v>5257</v>
      </c>
      <c r="F679" s="6" t="str">
        <f>HYPERLINK("http://gtclibrary.libguides.com/?b=s")</f>
        <v>http://gtclibrary.libguides.com/?b=s</v>
      </c>
    </row>
    <row r="680" spans="1:6" ht="15">
      <c r="A680" s="2" t="s">
        <v>3346</v>
      </c>
      <c r="B680" s="1" t="s">
        <v>3347</v>
      </c>
      <c r="C680" s="1" t="s">
        <v>3348</v>
      </c>
      <c r="D680" s="1" t="s">
        <v>5258</v>
      </c>
      <c r="F680" s="6" t="str">
        <f>HYPERLINK("http://gtclibrary.libguides.com/?b=s")</f>
        <v>http://gtclibrary.libguides.com/?b=s</v>
      </c>
    </row>
    <row r="681" spans="1:6" ht="15">
      <c r="A681" s="2" t="s">
        <v>2706</v>
      </c>
      <c r="B681" s="1" t="s">
        <v>2707</v>
      </c>
      <c r="C681" s="1" t="s">
        <v>2708</v>
      </c>
      <c r="D681" s="1" t="s">
        <v>5079</v>
      </c>
      <c r="E681" s="5" t="str">
        <f>HYPERLINK("mailto:hchs.30531@yahoo.com","hchs.30531@yahoo.com")</f>
        <v>hchs.30531@yahoo.com</v>
      </c>
      <c r="F681" s="6" t="str">
        <f>HYPERLINK("http://www.habershamhistoricalsociety.org/")</f>
        <v>http://www.habershamhistoricalsociety.org/</v>
      </c>
    </row>
    <row r="682" spans="1:7" ht="15">
      <c r="A682" s="2" t="s">
        <v>3697</v>
      </c>
      <c r="B682" s="1" t="s">
        <v>3698</v>
      </c>
      <c r="C682" s="1" t="s">
        <v>3699</v>
      </c>
      <c r="D682" s="1" t="s">
        <v>5352</v>
      </c>
      <c r="E682" s="5" t="str">
        <f>HYPERLINK("mailto:larry.whitfield@hcwallofhonor.org","larry.whitfield@hcwallofhonor.org")</f>
        <v>larry.whitfield@hcwallofhonor.org</v>
      </c>
      <c r="F682" s="6" t="str">
        <f>HYPERLINK("http://www.hcwallofhonor.org/")</f>
        <v>http://www.hcwallofhonor.org/</v>
      </c>
      <c r="G682" s="5" t="str">
        <f>HYPERLINK("https://www.facebook.com/Habersham-County-Veterans-Wall-of-Honor-101105410015317")</f>
        <v>https://www.facebook.com/Habersham-County-Veterans-Wall-of-Honor-101105410015317</v>
      </c>
    </row>
    <row r="683" spans="1:7" ht="15">
      <c r="A683" s="2" t="s">
        <v>2709</v>
      </c>
      <c r="B683" s="1" t="s">
        <v>2710</v>
      </c>
      <c r="C683" s="1" t="s">
        <v>2711</v>
      </c>
      <c r="D683" s="1" t="s">
        <v>5080</v>
      </c>
      <c r="E683" s="5" t="str">
        <f>HYPERLINK("mailto:kathleenblanton@gmail.com","kathleenblanton@gmail.com")</f>
        <v>kathleenblanton@gmail.com</v>
      </c>
      <c r="F683" s="6" t="str">
        <f>HYPERLINK("https://www.hahiraga.gov/historical-society")</f>
        <v>https://www.hahiraga.gov/historical-society</v>
      </c>
      <c r="G683" s="5" t="str">
        <f>HYPERLINK("https://www.facebook.com/Hahira-Historical-Society-235266776561109")</f>
        <v>https://www.facebook.com/Hahira-Historical-Society-235266776561109</v>
      </c>
    </row>
    <row r="684" spans="1:6" ht="15">
      <c r="A684" s="2" t="s">
        <v>1042</v>
      </c>
      <c r="B684" s="1" t="s">
        <v>1043</v>
      </c>
      <c r="C684" s="1" t="s">
        <v>1044</v>
      </c>
      <c r="D684" s="1" t="s">
        <v>4585</v>
      </c>
      <c r="F684" s="6" t="str">
        <f>HYPERLINK("https://dekalblibrary.org/branches/hair")</f>
        <v>https://dekalblibrary.org/branches/hair</v>
      </c>
    </row>
    <row r="685" spans="1:6" ht="15">
      <c r="A685" s="2" t="s">
        <v>2712</v>
      </c>
      <c r="B685" s="1" t="s">
        <v>2713</v>
      </c>
      <c r="C685" s="1" t="s">
        <v>2714</v>
      </c>
      <c r="E685" s="5" t="str">
        <f>HYPERLINK("mailto:hchsgeorgia@gmail.com","hchsgeorgia@gmail.com")</f>
        <v>hchsgeorgia@gmail.com</v>
      </c>
      <c r="F685" s="6" t="str">
        <f>HYPERLINK("http://www.hallcountyhistoricalsociety.org/")</f>
        <v>http://www.hallcountyhistoricalsociety.org/</v>
      </c>
    </row>
    <row r="686" spans="1:6" ht="15">
      <c r="A686" s="2" t="s">
        <v>1600</v>
      </c>
      <c r="B686" s="1" t="s">
        <v>1601</v>
      </c>
      <c r="C686" s="1" t="s">
        <v>1602</v>
      </c>
      <c r="D686" s="1" t="s">
        <v>4755</v>
      </c>
      <c r="F686" s="6" t="str">
        <f>HYPERLINK("https://hallcountylibrary.org/index.php/branch-locations")</f>
        <v>https://hallcountylibrary.org/index.php/branch-locations</v>
      </c>
    </row>
    <row r="687" spans="1:6" ht="15">
      <c r="A687" s="2" t="s">
        <v>648</v>
      </c>
      <c r="B687" s="1" t="s">
        <v>649</v>
      </c>
      <c r="C687" s="1" t="s">
        <v>650</v>
      </c>
      <c r="D687" s="1" t="s">
        <v>4458</v>
      </c>
      <c r="F687" s="6" t="str">
        <f>HYPERLINK("https://gastateparks.org/Hamburg")</f>
        <v>https://gastateparks.org/Hamburg</v>
      </c>
    </row>
    <row r="688" spans="1:6" ht="15">
      <c r="A688" s="2" t="s">
        <v>2715</v>
      </c>
      <c r="B688" s="1" t="s">
        <v>649</v>
      </c>
      <c r="C688" s="1" t="s">
        <v>2716</v>
      </c>
      <c r="D688" s="1" t="s">
        <v>4458</v>
      </c>
      <c r="F688" s="6" t="str">
        <f>HYPERLINK("http://gastateparks.org/hamburg/")</f>
        <v>http://gastateparks.org/hamburg/</v>
      </c>
    </row>
    <row r="689" spans="1:6" ht="15">
      <c r="A689" s="2" t="s">
        <v>1240</v>
      </c>
      <c r="B689" s="1" t="s">
        <v>1241</v>
      </c>
      <c r="C689" s="1" t="s">
        <v>1242</v>
      </c>
      <c r="D689" s="1" t="s">
        <v>4645</v>
      </c>
      <c r="F689" s="6" t="str">
        <f>HYPERLINK("https://www.gwinnettpl.org/locations-and-hours/")</f>
        <v>https://www.gwinnettpl.org/locations-and-hours/</v>
      </c>
    </row>
    <row r="690" spans="1:6" ht="15">
      <c r="A690" s="2" t="s">
        <v>651</v>
      </c>
      <c r="B690" s="1" t="s">
        <v>652</v>
      </c>
      <c r="C690" s="1" t="s">
        <v>653</v>
      </c>
      <c r="D690" s="1" t="s">
        <v>4459</v>
      </c>
      <c r="E690" s="5" t="str">
        <f>HYPERLINK("mailto:business@hammondshouse.org","business@hammondshouse.org")</f>
        <v>business@hammondshouse.org</v>
      </c>
      <c r="F690" s="6" t="str">
        <f>HYPERLINK("http://www.hammondshouse.org/")</f>
        <v>http://www.hammondshouse.org/</v>
      </c>
    </row>
    <row r="691" spans="1:7" ht="15">
      <c r="A691" s="2" t="s">
        <v>1588</v>
      </c>
      <c r="B691" s="1" t="s">
        <v>1589</v>
      </c>
      <c r="C691" s="1" t="s">
        <v>1590</v>
      </c>
      <c r="D691" s="1" t="s">
        <v>4361</v>
      </c>
      <c r="E691" s="5" t="str">
        <f>HYPERLINK("mailto:Ask_a_Librarian@forsythpl.org","Ask_a_Librarian@forsythpl.org")</f>
        <v>Ask_a_Librarian@forsythpl.org</v>
      </c>
      <c r="F691" s="6" t="str">
        <f>HYPERLINK("https://www.forsythpl.org/hampton-park-library")</f>
        <v>https://www.forsythpl.org/hampton-park-library</v>
      </c>
      <c r="G691" s="5" t="str">
        <f>HYPERLINK("https://www.facebook.com/forsythpl")</f>
        <v>https://www.facebook.com/forsythpl</v>
      </c>
    </row>
    <row r="692" spans="1:6" ht="15">
      <c r="A692" s="2" t="s">
        <v>2084</v>
      </c>
      <c r="B692" s="1" t="s">
        <v>2085</v>
      </c>
      <c r="C692" s="1" t="s">
        <v>2086</v>
      </c>
      <c r="D692" s="1" t="s">
        <v>4756</v>
      </c>
      <c r="F692" s="6" t="str">
        <f>HYPERLINK("http://tllsga.org/about/locations/")</f>
        <v>http://tllsga.org/about/locations/</v>
      </c>
    </row>
    <row r="693" spans="1:6" ht="15">
      <c r="A693" s="2" t="s">
        <v>1351</v>
      </c>
      <c r="B693" s="1" t="s">
        <v>1352</v>
      </c>
      <c r="C693" s="1" t="s">
        <v>1353</v>
      </c>
      <c r="D693" s="1" t="s">
        <v>4682</v>
      </c>
      <c r="E693" s="5" t="str">
        <f>HYPERLINK("mailto:kathy@uncleremus.org","kathy@uncleremus.org")</f>
        <v>kathy@uncleremus.org</v>
      </c>
      <c r="F693" s="6" t="str">
        <f>HYPERLINK("http://azalealibraries.org/hancock.htm")</f>
        <v>http://azalealibraries.org/hancock.htm</v>
      </c>
    </row>
    <row r="694" spans="1:6" ht="15">
      <c r="A694" s="2" t="s">
        <v>1153</v>
      </c>
      <c r="B694" s="1" t="s">
        <v>1154</v>
      </c>
      <c r="C694" s="1" t="s">
        <v>1155</v>
      </c>
      <c r="D694" s="1" t="s">
        <v>4621</v>
      </c>
      <c r="F694" s="6" t="str">
        <f>HYPERLINK("http://www.afpls.org/hapeville-branch")</f>
        <v>http://www.afpls.org/hapeville-branch</v>
      </c>
    </row>
    <row r="695" spans="1:7" ht="15">
      <c r="A695" s="2" t="s">
        <v>2717</v>
      </c>
      <c r="B695" s="1" t="s">
        <v>2718</v>
      </c>
      <c r="C695" s="1" t="s">
        <v>2719</v>
      </c>
      <c r="D695" s="1" t="s">
        <v>5081</v>
      </c>
      <c r="E695" s="5" t="str">
        <f>HYPERLINK("mailto:historichapeville@comcast.net","historichapeville@comcast.net")</f>
        <v>historichapeville@comcast.net</v>
      </c>
      <c r="F695" s="6" t="str">
        <f>HYPERLINK("http://www.historichapeville.org/")</f>
        <v>http://www.historichapeville.org/</v>
      </c>
      <c r="G695" s="5" t="str">
        <f>HYPERLINK("https://www.facebook.com/Hapeville-Depot-Museum-and-Visitor-Center-87679297461")</f>
        <v>https://www.facebook.com/Hapeville-Depot-Museum-and-Visitor-Center-87679297461</v>
      </c>
    </row>
    <row r="696" spans="1:5" ht="15">
      <c r="A696" s="2" t="s">
        <v>2720</v>
      </c>
      <c r="B696" s="1" t="s">
        <v>2254</v>
      </c>
      <c r="C696" s="1" t="s">
        <v>2721</v>
      </c>
      <c r="D696" s="1" t="s">
        <v>4524</v>
      </c>
      <c r="E696" s="5" t="str">
        <f>HYPERLINK("mailto:haralsoncountyhistory@gmail.com","haralsoncountyhistory@gmail.com")</f>
        <v>haralsoncountyhistory@gmail.com</v>
      </c>
    </row>
    <row r="697" spans="1:6" ht="15">
      <c r="A697" s="2" t="s">
        <v>3700</v>
      </c>
      <c r="B697" s="1" t="s">
        <v>3701</v>
      </c>
      <c r="C697" s="1" t="s">
        <v>3702</v>
      </c>
      <c r="D697" s="1" t="s">
        <v>5353</v>
      </c>
      <c r="F697" s="6" t="str">
        <f>HYPERLINK("http://www.tallapoosaga.gov/community/attractions/")</f>
        <v>http://www.tallapoosaga.gov/community/attractions/</v>
      </c>
    </row>
    <row r="698" spans="1:7" ht="15">
      <c r="A698" s="2" t="s">
        <v>3526</v>
      </c>
      <c r="B698" s="1" t="s">
        <v>3527</v>
      </c>
      <c r="C698" s="1" t="s">
        <v>3528</v>
      </c>
      <c r="D698" s="1" t="s">
        <v>5309</v>
      </c>
      <c r="F698" s="6" t="str">
        <f>HYPERLINK("https://gastateparks.org/HardmanFarm")</f>
        <v>https://gastateparks.org/HardmanFarm</v>
      </c>
      <c r="G698" s="5" t="str">
        <f>HYPERLINK("https://www.facebook.com/601387943298044")</f>
        <v>https://www.facebook.com/601387943298044</v>
      </c>
    </row>
    <row r="699" spans="1:6" ht="15">
      <c r="A699" s="2" t="s">
        <v>533</v>
      </c>
      <c r="B699" s="1" t="s">
        <v>534</v>
      </c>
      <c r="C699" s="1" t="s">
        <v>535</v>
      </c>
      <c r="D699" s="1" t="s">
        <v>4428</v>
      </c>
      <c r="F699" s="6" t="str">
        <f>HYPERLINK("https://www.libs.uga.edu/hargrett/index.shtml")</f>
        <v>https://www.libs.uga.edu/hargrett/index.shtml</v>
      </c>
    </row>
    <row r="700" spans="1:8" ht="15">
      <c r="A700" s="2" t="s">
        <v>4146</v>
      </c>
      <c r="B700" s="1" t="s">
        <v>4147</v>
      </c>
      <c r="C700" s="1" t="s">
        <v>4148</v>
      </c>
      <c r="D700" s="1" t="s">
        <v>5477</v>
      </c>
      <c r="E700" s="5" t="str">
        <f>HYPERLINK("mailto:harlemartscouncil@gmail.com","harlemartscouncil@gmail.com")</f>
        <v>harlemartscouncil@gmail.com</v>
      </c>
      <c r="F700" s="6" t="str">
        <f>HYPERLINK("https://www.harlemartscouncil.org/")</f>
        <v>https://www.harlemartscouncil.org/</v>
      </c>
      <c r="G700" s="5" t="str">
        <f>HYPERLINK("https://www.facebook.com/HarlemArtsCouncil")</f>
        <v>https://www.facebook.com/HarlemArtsCouncil</v>
      </c>
      <c r="H700" s="5" t="str">
        <f>HYPERLINK("https://twitter.com/Harlem_Arts")</f>
        <v>https://twitter.com/Harlem_Arts</v>
      </c>
    </row>
    <row r="701" spans="1:6" ht="15">
      <c r="A701" s="2" t="s">
        <v>1630</v>
      </c>
      <c r="B701" s="1" t="s">
        <v>1631</v>
      </c>
      <c r="C701" s="1" t="s">
        <v>1632</v>
      </c>
      <c r="D701" s="1" t="s">
        <v>4763</v>
      </c>
      <c r="F701" s="6" t="str">
        <f>HYPERLINK("https://gchrl.org/branches/harlem-branch-library/")</f>
        <v>https://gchrl.org/branches/harlem-branch-library/</v>
      </c>
    </row>
    <row r="702" spans="1:6" ht="15">
      <c r="A702" s="2" t="s">
        <v>1288</v>
      </c>
      <c r="B702" s="1" t="s">
        <v>1289</v>
      </c>
      <c r="C702" s="1" t="s">
        <v>1290</v>
      </c>
      <c r="D702" s="1" t="s">
        <v>4661</v>
      </c>
      <c r="F702" s="6" t="str">
        <f>HYPERLINK("http://www.ocrl.org/jc-home/")</f>
        <v>http://www.ocrl.org/jc-home/</v>
      </c>
    </row>
    <row r="703" spans="1:6" ht="15">
      <c r="A703" s="2" t="s">
        <v>568</v>
      </c>
      <c r="B703" s="1" t="s">
        <v>569</v>
      </c>
      <c r="C703" s="1" t="s">
        <v>570</v>
      </c>
      <c r="D703" s="1" t="s">
        <v>4438</v>
      </c>
      <c r="E703" s="5" t="str">
        <f>HYPERLINK("mailto:circulation@asurams.edu","circulation@asurams.edu")</f>
        <v>circulation@asurams.edu</v>
      </c>
      <c r="F703" s="6" t="str">
        <f>HYPERLINK("https://www.asurams.edu/academic-affairs/library/index.php")</f>
        <v>https://www.asurams.edu/academic-affairs/library/index.php</v>
      </c>
    </row>
    <row r="704" spans="1:6" ht="15">
      <c r="A704" s="2" t="s">
        <v>3953</v>
      </c>
      <c r="B704" s="1" t="s">
        <v>3954</v>
      </c>
      <c r="C704" s="1" t="s">
        <v>3955</v>
      </c>
      <c r="D704" s="1" t="s">
        <v>5411</v>
      </c>
      <c r="E704" s="5" t="str">
        <f>HYPERLINK("mailto:info@harperfowlkeshouse.com","info@harperfowlkeshouse.com")</f>
        <v>info@harperfowlkeshouse.com</v>
      </c>
      <c r="F704" s="6" t="str">
        <f>HYPERLINK("http://www.harperfowlkeshouse.com/")</f>
        <v>http://www.harperfowlkeshouse.com/</v>
      </c>
    </row>
    <row r="705" spans="1:6" ht="15">
      <c r="A705" s="2" t="s">
        <v>2244</v>
      </c>
      <c r="B705" s="1" t="s">
        <v>2245</v>
      </c>
      <c r="C705" s="1" t="s">
        <v>2246</v>
      </c>
      <c r="D705" s="1" t="s">
        <v>4945</v>
      </c>
      <c r="F705" s="6" t="str">
        <f>HYPERLINK("https://www.thrl.org/harris-county-library/")</f>
        <v>https://www.thrl.org/harris-county-library/</v>
      </c>
    </row>
    <row r="706" spans="1:6" ht="30">
      <c r="A706" s="2" t="s">
        <v>2722</v>
      </c>
      <c r="B706" s="1" t="s">
        <v>2723</v>
      </c>
      <c r="C706" s="1" t="s">
        <v>2724</v>
      </c>
      <c r="D706" s="1" t="s">
        <v>5082</v>
      </c>
      <c r="F706" s="6" t="str">
        <f>HYPERLINK("https://www.hart-chamber.org/list/member/hart-county-historical-society-hartwell-26")</f>
        <v>https://www.hart-chamber.org/list/member/hart-county-historical-society-hartwell-26</v>
      </c>
    </row>
    <row r="707" spans="1:6" ht="15">
      <c r="A707" s="2" t="s">
        <v>328</v>
      </c>
      <c r="B707" s="1" t="s">
        <v>329</v>
      </c>
      <c r="C707" s="1" t="s">
        <v>330</v>
      </c>
      <c r="D707" s="1" t="s">
        <v>4371</v>
      </c>
      <c r="E707" s="5" t="str">
        <f>HYPERLINK("mailto:info@hartcountylibrary.com","info@hartcountylibrary.com")</f>
        <v>info@hartcountylibrary.com</v>
      </c>
      <c r="F707" s="6" t="str">
        <f>HYPERLINK("http://www.hartcountylibrary.com/")</f>
        <v>http://www.hartcountylibrary.com/</v>
      </c>
    </row>
    <row r="708" spans="1:7" ht="15">
      <c r="A708" s="2" t="s">
        <v>654</v>
      </c>
      <c r="B708" s="1" t="s">
        <v>655</v>
      </c>
      <c r="C708" s="1" t="s">
        <v>656</v>
      </c>
      <c r="D708" s="1" t="s">
        <v>4460</v>
      </c>
      <c r="E708" s="5" t="str">
        <f>HYPERLINK("mailto:friendsofhawkes@gmail.com","friendsofhawkes@gmail.com")</f>
        <v>friendsofhawkes@gmail.com</v>
      </c>
      <c r="F708" s="6" t="str">
        <f>HYPERLINK("https://hawkeslibrary.blogspot.com/")</f>
        <v>https://hawkeslibrary.blogspot.com/</v>
      </c>
      <c r="G708" s="5" t="str">
        <f>HYPERLINK("https://www.facebook.com/hawkeslibrary")</f>
        <v>https://www.facebook.com/hawkeslibrary</v>
      </c>
    </row>
    <row r="709" spans="1:6" ht="15">
      <c r="A709" s="2" t="s">
        <v>4149</v>
      </c>
      <c r="B709" s="1" t="s">
        <v>181</v>
      </c>
      <c r="C709" s="1" t="s">
        <v>182</v>
      </c>
      <c r="D709" s="1" t="s">
        <v>5478</v>
      </c>
      <c r="E709" s="5" t="str">
        <f>HYPERLINK("mailto:info@hawkinsvilleoperahouse.com","info@hawkinsvilleoperahouse.com")</f>
        <v>info@hawkinsvilleoperahouse.com</v>
      </c>
      <c r="F709" s="6" t="str">
        <f>HYPERLINK("https://hawkinsvilleoperahouse.com/")</f>
        <v>https://hawkinsvilleoperahouse.com/</v>
      </c>
    </row>
    <row r="710" spans="1:6" ht="15">
      <c r="A710" s="2" t="s">
        <v>1807</v>
      </c>
      <c r="B710" s="1" t="s">
        <v>1808</v>
      </c>
      <c r="C710" s="1" t="s">
        <v>1809</v>
      </c>
      <c r="D710" s="1" t="s">
        <v>4815</v>
      </c>
      <c r="E710" s="5" t="str">
        <f>HYPERLINK("mailto:hayhousemacon@georgiatrust.org","hayhousemacon@georgiatrust.org")</f>
        <v>hayhousemacon@georgiatrust.org</v>
      </c>
      <c r="F710" s="6" t="str">
        <f>HYPERLINK("https://www.hayhousemacon.org/")</f>
        <v>https://www.hayhousemacon.org/</v>
      </c>
    </row>
    <row r="711" spans="1:7" ht="15">
      <c r="A711" s="2" t="s">
        <v>1816</v>
      </c>
      <c r="B711" s="1" t="s">
        <v>1817</v>
      </c>
      <c r="C711" s="1" t="s">
        <v>1818</v>
      </c>
      <c r="D711" s="1" t="s">
        <v>4818</v>
      </c>
      <c r="E711" s="5" t="str">
        <f>HYPERLINK("mailto:hjdhistoricalsociety@gmail.com","hjdhistoricalsociety@gmail.com")</f>
        <v>hjdhistoricalsociety@gmail.com</v>
      </c>
      <c r="G711" s="5" t="str">
        <f>HYPERLINK("https://www.facebook.com/Hazlehurst-Jeff-Davis-Historical-Museum-Society-Inc-1772743082937586")</f>
        <v>https://www.facebook.com/Hazlehurst-Jeff-Davis-Historical-Museum-Society-Inc-1772743082937586</v>
      </c>
    </row>
    <row r="712" spans="1:6" ht="15">
      <c r="A712" s="2" t="s">
        <v>205</v>
      </c>
      <c r="B712" s="1" t="s">
        <v>206</v>
      </c>
      <c r="C712" s="1" t="s">
        <v>207</v>
      </c>
      <c r="D712" s="1" t="s">
        <v>4343</v>
      </c>
      <c r="E712" s="5" t="str">
        <f>HYPERLINK("mailto:info@heardhistory.com","info@heardhistory.com")</f>
        <v>info@heardhistory.com</v>
      </c>
      <c r="F712" s="6" t="str">
        <f>HYPERLINK("http://www.heardhistory.com")</f>
        <v>http://www.heardhistory.com</v>
      </c>
    </row>
    <row r="713" spans="1:6" ht="15">
      <c r="A713" s="2" t="s">
        <v>838</v>
      </c>
      <c r="B713" s="1" t="s">
        <v>839</v>
      </c>
      <c r="C713" s="1" t="s">
        <v>840</v>
      </c>
      <c r="D713" s="1" t="s">
        <v>4518</v>
      </c>
      <c r="E713" s="5" t="str">
        <f>HYPERLINK("mailto:lstokes@wgrls.org","lstokes@wgrls.org")</f>
        <v>lstokes@wgrls.org</v>
      </c>
      <c r="F713" s="6" t="str">
        <f>HYPERLINK("http://www.wgrls.org/visit/franklin/")</f>
        <v>http://www.wgrls.org/visit/franklin/</v>
      </c>
    </row>
    <row r="714" spans="1:3" ht="15">
      <c r="A714" s="2" t="s">
        <v>3703</v>
      </c>
      <c r="B714" s="1" t="s">
        <v>3704</v>
      </c>
      <c r="C714" s="1" t="s">
        <v>3705</v>
      </c>
    </row>
    <row r="715" spans="1:8" ht="15">
      <c r="A715" s="2" t="s">
        <v>4150</v>
      </c>
      <c r="B715" s="1" t="s">
        <v>4151</v>
      </c>
      <c r="C715" s="1" t="s">
        <v>4152</v>
      </c>
      <c r="D715" s="1" t="s">
        <v>5479</v>
      </c>
      <c r="F715" s="6" t="str">
        <f>HYPERLINK("https://www.helenarts.org/")</f>
        <v>https://www.helenarts.org/</v>
      </c>
      <c r="G715" s="5" t="str">
        <f>HYPERLINK("https://www.facebook.com/helenartsga")</f>
        <v>https://www.facebook.com/helenartsga</v>
      </c>
      <c r="H715" s="5" t="str">
        <f>HYPERLINK("https://twitter.com/helenartsga")</f>
        <v>https://twitter.com/helenartsga</v>
      </c>
    </row>
    <row r="716" spans="1:6" ht="15">
      <c r="A716" s="2" t="s">
        <v>1255</v>
      </c>
      <c r="B716" s="1" t="s">
        <v>1256</v>
      </c>
      <c r="C716" s="1" t="s">
        <v>1257</v>
      </c>
      <c r="D716" s="1" t="s">
        <v>4650</v>
      </c>
      <c r="F716" s="6" t="str">
        <f>HYPERLINK("https://negeorgialibraries.org/affiliate-libraries/")</f>
        <v>https://negeorgialibraries.org/affiliate-libraries/</v>
      </c>
    </row>
    <row r="717" spans="1:6" ht="15">
      <c r="A717" s="2" t="s">
        <v>2632</v>
      </c>
      <c r="B717" s="1" t="s">
        <v>2633</v>
      </c>
      <c r="C717" s="1" t="s">
        <v>2634</v>
      </c>
      <c r="D717" s="1" t="s">
        <v>5055</v>
      </c>
      <c r="F717" s="6" t="str">
        <f>HYPERLINK("https://www.fvsu.edu/huntlibrary")</f>
        <v>https://www.fvsu.edu/huntlibrary</v>
      </c>
    </row>
    <row r="718" spans="1:6" ht="30">
      <c r="A718" s="2" t="s">
        <v>3085</v>
      </c>
      <c r="B718" s="1" t="s">
        <v>3086</v>
      </c>
      <c r="C718" s="1" t="s">
        <v>3087</v>
      </c>
      <c r="D718" s="1" t="s">
        <v>5189</v>
      </c>
      <c r="F718" s="6" t="str">
        <f>HYPERLINK("https://libraries.mercer.edu/about-us/about-rac/henry-county")</f>
        <v>https://libraries.mercer.edu/about-us/about-rac/henry-county</v>
      </c>
    </row>
    <row r="719" spans="1:6" ht="15">
      <c r="A719" s="2" t="s">
        <v>150</v>
      </c>
      <c r="B719" s="1" t="s">
        <v>151</v>
      </c>
      <c r="C719" s="1" t="s">
        <v>152</v>
      </c>
      <c r="D719" s="1" t="s">
        <v>4329</v>
      </c>
      <c r="E719" s="5" t="str">
        <f>HYPERLINK("mailto:athensjl@gmail.com","athensjl@gmail.com")</f>
        <v>athensjl@gmail.com</v>
      </c>
      <c r="F719" s="6" t="str">
        <f>HYPERLINK("http://www.taylorgradyhouse.com/")</f>
        <v>http://www.taylorgradyhouse.com/</v>
      </c>
    </row>
    <row r="720" spans="1:6" ht="15">
      <c r="A720" s="2" t="s">
        <v>3512</v>
      </c>
      <c r="E720" s="5" t="str">
        <f>HYPERLINK("mailto:hera.atlanta@gmail.com","hera.atlanta@gmail.com")</f>
        <v>hera.atlanta@gmail.com</v>
      </c>
      <c r="F720" s="6" t="str">
        <f>HYPERLINK("https://heraatlanta.wordpress.com/")</f>
        <v>https://heraatlanta.wordpress.com/</v>
      </c>
    </row>
    <row r="721" spans="1:6" ht="15">
      <c r="A721" s="2" t="s">
        <v>2841</v>
      </c>
      <c r="B721" s="1" t="s">
        <v>2842</v>
      </c>
      <c r="C721" s="1" t="s">
        <v>2843</v>
      </c>
      <c r="D721" s="1" t="s">
        <v>5121</v>
      </c>
      <c r="E721" s="5" t="str">
        <f>HYPERLINK("mailto:madisonheritagehall@yahoo.com","madisonheritagehall@yahoo.com")</f>
        <v>madisonheritagehall@yahoo.com</v>
      </c>
      <c r="F721" s="6" t="str">
        <f>HYPERLINK("http://friendsofheritagehall.org/")</f>
        <v>http://friendsofheritagehall.org/</v>
      </c>
    </row>
    <row r="722" spans="1:4" ht="15">
      <c r="A722" s="2" t="s">
        <v>3706</v>
      </c>
      <c r="B722" s="1" t="s">
        <v>3707</v>
      </c>
      <c r="C722" s="1" t="s">
        <v>3708</v>
      </c>
      <c r="D722" s="1" t="s">
        <v>5354</v>
      </c>
    </row>
    <row r="723" spans="1:7" ht="15">
      <c r="A723" s="2" t="s">
        <v>2725</v>
      </c>
      <c r="B723" s="1" t="s">
        <v>2726</v>
      </c>
      <c r="C723" s="1" t="s">
        <v>2727</v>
      </c>
      <c r="D723" s="1" t="s">
        <v>5083</v>
      </c>
      <c r="E723" s="5" t="str">
        <f>HYPERLINK("mailto:information@heritagesandysprings.org","information@heritagesandysprings.org")</f>
        <v>information@heritagesandysprings.org</v>
      </c>
      <c r="F723" s="6" t="str">
        <f>HYPERLINK("https://heritagesandysprings.org/")</f>
        <v>https://heritagesandysprings.org/</v>
      </c>
      <c r="G723" s="5" t="str">
        <f>HYPERLINK("https://www.facebook.com/heritagesandysprings")</f>
        <v>https://www.facebook.com/heritagesandysprings</v>
      </c>
    </row>
    <row r="724" spans="1:6" ht="15">
      <c r="A724" s="2" t="s">
        <v>2271</v>
      </c>
      <c r="B724" s="1" t="s">
        <v>2272</v>
      </c>
      <c r="C724" s="1" t="s">
        <v>2273</v>
      </c>
      <c r="D724" s="1" t="s">
        <v>4951</v>
      </c>
      <c r="E724" s="5" t="str">
        <f>HYPERLINK("mailto:cchs@cityofdouglas.com","cchs@cityofdouglas.com")</f>
        <v>cchs@cityofdouglas.com</v>
      </c>
      <c r="F724" s="6" t="str">
        <f>HYPERLINK("https://www.cityofdouglas.com/125/Heritage-Station-Museum")</f>
        <v>https://www.cityofdouglas.com/125/Heritage-Station-Museum</v>
      </c>
    </row>
    <row r="725" spans="1:6" ht="15">
      <c r="A725" s="2" t="s">
        <v>657</v>
      </c>
      <c r="B725" s="1" t="s">
        <v>658</v>
      </c>
      <c r="C725" s="1" t="s">
        <v>659</v>
      </c>
      <c r="D725" s="1" t="s">
        <v>4461</v>
      </c>
      <c r="E725" s="5" t="str">
        <f>HYPERLINK("mailto:jwsmith@herndonhome.org","jwsmith@herndonhome.org")</f>
        <v>jwsmith@herndonhome.org</v>
      </c>
      <c r="F725" s="6" t="str">
        <f>HYPERLINK("http://www.herndonhome.org/")</f>
        <v>http://www.herndonhome.org/</v>
      </c>
    </row>
    <row r="726" spans="1:6" ht="15">
      <c r="A726" s="2" t="s">
        <v>907</v>
      </c>
      <c r="B726" s="1" t="s">
        <v>908</v>
      </c>
      <c r="C726" s="1" t="s">
        <v>909</v>
      </c>
      <c r="D726" s="1" t="s">
        <v>4541</v>
      </c>
      <c r="E726" s="5" t="str">
        <f>HYPERLINK("mailto:darrowl@seqlib.org","darrowl@seqlib.org")</f>
        <v>darrowl@seqlib.org</v>
      </c>
      <c r="F726" s="6" t="str">
        <f>HYPERLINK("https://www.sequoyahregionallibrary.org/hickory-flat/")</f>
        <v>https://www.sequoyahregionallibrary.org/hickory-flat/</v>
      </c>
    </row>
    <row r="727" spans="1:6" ht="15">
      <c r="A727" s="2" t="s">
        <v>1819</v>
      </c>
      <c r="B727" s="1" t="s">
        <v>1820</v>
      </c>
      <c r="C727" s="1" t="s">
        <v>1821</v>
      </c>
      <c r="D727" s="1" t="s">
        <v>4819</v>
      </c>
      <c r="E727" s="5" t="str">
        <f>HYPERLINK("mailto:mzupan@hickory-hill.org","mzupan@hickory-hill.org")</f>
        <v>mzupan@hickory-hill.org</v>
      </c>
      <c r="F727" s="6" t="str">
        <f>HYPERLINK("http://www.hickory-hill.org/")</f>
        <v>http://www.hickory-hill.org/</v>
      </c>
    </row>
    <row r="728" spans="1:8" ht="15">
      <c r="A728" s="2" t="s">
        <v>3548</v>
      </c>
      <c r="B728" s="1" t="s">
        <v>3549</v>
      </c>
      <c r="C728" s="1" t="s">
        <v>3550</v>
      </c>
      <c r="D728" s="1" t="s">
        <v>5314</v>
      </c>
      <c r="E728" s="5" t="str">
        <f>HYPERLINK("mailto:highmuseum@woodruffcenter.org","highmuseum@woodruffcenter.org")</f>
        <v>highmuseum@woodruffcenter.org</v>
      </c>
      <c r="F728" s="6" t="str">
        <f>HYPERLINK("http://www.high.org")</f>
        <v>http://www.high.org</v>
      </c>
      <c r="G728" s="5" t="str">
        <f>HYPERLINK("https://www.facebook.com/HighMuseumofArt")</f>
        <v>https://www.facebook.com/HighMuseumofArt</v>
      </c>
      <c r="H728" s="5" t="str">
        <f>HYPERLINK("https://twitter.com/highmuseumofart")</f>
        <v>https://twitter.com/highmuseumofart</v>
      </c>
    </row>
    <row r="729" spans="1:8" ht="15">
      <c r="A729" s="2" t="s">
        <v>3548</v>
      </c>
      <c r="B729" s="1" t="s">
        <v>3549</v>
      </c>
      <c r="C729" s="1" t="s">
        <v>3551</v>
      </c>
      <c r="D729" s="1" t="s">
        <v>5314</v>
      </c>
      <c r="E729" s="5" t="str">
        <f>HYPERLINK("mailto:highmuseum@woodruffcenter.org","highmuseum@woodruffcenter.org")</f>
        <v>highmuseum@woodruffcenter.org</v>
      </c>
      <c r="F729" s="6" t="str">
        <f>HYPERLINK("http://www.high.org")</f>
        <v>http://www.high.org</v>
      </c>
      <c r="G729" s="5" t="str">
        <f>HYPERLINK("https://www.facebook.com/HighMuseumofArt")</f>
        <v>https://www.facebook.com/HighMuseumofArt</v>
      </c>
      <c r="H729" s="5" t="str">
        <f>HYPERLINK("https://twitter.com/highmuseumofart")</f>
        <v>https://twitter.com/highmuseumofart</v>
      </c>
    </row>
    <row r="730" spans="1:6" ht="30">
      <c r="A730" s="2" t="s">
        <v>1327</v>
      </c>
      <c r="B730" s="1" t="s">
        <v>1328</v>
      </c>
      <c r="C730" s="1" t="s">
        <v>1329</v>
      </c>
      <c r="D730" s="1" t="s">
        <v>4674</v>
      </c>
      <c r="E730" s="5" t="str">
        <f>HYPERLINK("mailto:libraryh@pinemtnlibrary.org","libraryh@pinemtnlibrary.org")</f>
        <v>libraryh@pinemtnlibrary.org</v>
      </c>
      <c r="F730" s="6" t="str">
        <f>HYPERLINK("https://www.pinemtnlibrary.org/wordpress/index.php/hours-and-locations/upson-county/hightower-memorial-library/")</f>
        <v>https://www.pinemtnlibrary.org/wordpress/index.php/hours-and-locations/upson-county/hightower-memorial-library/</v>
      </c>
    </row>
    <row r="731" spans="1:6" ht="15">
      <c r="A731" s="2" t="s">
        <v>3262</v>
      </c>
      <c r="B731" s="1" t="s">
        <v>3263</v>
      </c>
      <c r="C731" s="1" t="s">
        <v>3264</v>
      </c>
      <c r="D731" s="1" t="s">
        <v>5238</v>
      </c>
      <c r="E731" s="5" t="str">
        <f>HYPERLINK("mailto:library@reinhardt.edu","library@reinhardt.edu")</f>
        <v>library@reinhardt.edu</v>
      </c>
      <c r="F731" s="6" t="str">
        <f>HYPERLINK("https://www.reinhardt.edu/library/")</f>
        <v>https://www.reinhardt.edu/library/</v>
      </c>
    </row>
    <row r="732" spans="1:6" ht="15">
      <c r="A732" s="2" t="s">
        <v>663</v>
      </c>
      <c r="B732" s="1" t="s">
        <v>664</v>
      </c>
      <c r="C732" s="1" t="s">
        <v>665</v>
      </c>
      <c r="D732" s="1" t="s">
        <v>4463</v>
      </c>
      <c r="E732" s="5" t="str">
        <f>HYPERLINK("mailto:info@hillsanddales.org","info@hillsanddales.org")</f>
        <v>info@hillsanddales.org</v>
      </c>
      <c r="F732" s="6" t="str">
        <f>HYPERLINK("http://www.hillsanddalesestate.org")</f>
        <v>http://www.hillsanddalesestate.org</v>
      </c>
    </row>
    <row r="733" spans="1:6" ht="15">
      <c r="A733" s="2" t="s">
        <v>2153</v>
      </c>
      <c r="B733" s="1" t="s">
        <v>2154</v>
      </c>
      <c r="C733" s="1" t="s">
        <v>2155</v>
      </c>
      <c r="D733" s="1" t="s">
        <v>4915</v>
      </c>
      <c r="E733" s="5" t="str">
        <f>HYPERLINK("mailto:fortnere@liveoakpl.org","fortnere@liveoakpl.org")</f>
        <v>fortnere@liveoakpl.org</v>
      </c>
      <c r="F733" s="6" t="str">
        <f>HYPERLINK("https://liveoakpl.org/locations/hinesville")</f>
        <v>https://liveoakpl.org/locations/hinesville</v>
      </c>
    </row>
    <row r="734" spans="1:6" ht="15">
      <c r="A734" s="2" t="s">
        <v>3716</v>
      </c>
      <c r="B734" s="1" t="s">
        <v>3717</v>
      </c>
      <c r="C734" s="1" t="s">
        <v>3718</v>
      </c>
      <c r="D734" s="1" t="s">
        <v>5357</v>
      </c>
      <c r="E734" s="5" t="str">
        <f>HYPERLINK("mailto:glking10@gmail.com","glking10@gmail.com")</f>
        <v>glking10@gmail.com</v>
      </c>
      <c r="F734" s="6" t="str">
        <f>HYPERLINK("https://www.hiramrosenwaldschool.org/")</f>
        <v>https://www.hiramrosenwaldschool.org/</v>
      </c>
    </row>
    <row r="735" spans="1:7" ht="15">
      <c r="A735" s="2" t="s">
        <v>2438</v>
      </c>
      <c r="B735" s="1" t="s">
        <v>2439</v>
      </c>
      <c r="C735" s="1" t="s">
        <v>2440</v>
      </c>
      <c r="D735" s="1" t="s">
        <v>4996</v>
      </c>
      <c r="E735" s="5" t="str">
        <f>HYPERLINK("mailto:director@athenswelcomecenter.com","director@athenswelcomecenter.com")</f>
        <v>director@athenswelcomecenter.com</v>
      </c>
      <c r="F735" s="6" t="str">
        <f>HYPERLINK("http://www.historicathens.com/")</f>
        <v>http://www.historicathens.com/</v>
      </c>
      <c r="G735" s="5" t="str">
        <f>HYPERLINK("https://www.facebook.com/athensclarkeheritage")</f>
        <v>https://www.facebook.com/athensclarkeheritage</v>
      </c>
    </row>
    <row r="736" spans="1:6" ht="15">
      <c r="A736" s="2" t="s">
        <v>2728</v>
      </c>
      <c r="B736" s="1" t="s">
        <v>2729</v>
      </c>
      <c r="C736" s="1" t="s">
        <v>2730</v>
      </c>
      <c r="D736" s="1" t="s">
        <v>5084</v>
      </c>
      <c r="E736" s="5" t="str">
        <f>HYPERLINK("mailto:info@historicaugusta.org","info@historicaugusta.org")</f>
        <v>info@historicaugusta.org</v>
      </c>
      <c r="F736" s="6" t="str">
        <f>HYPERLINK("http://www.historicaugusta.org/")</f>
        <v>http://www.historicaugusta.org/</v>
      </c>
    </row>
    <row r="737" spans="1:6" ht="15">
      <c r="A737" s="2" t="s">
        <v>1822</v>
      </c>
      <c r="B737" s="1" t="s">
        <v>1823</v>
      </c>
      <c r="C737" s="1" t="s">
        <v>1824</v>
      </c>
      <c r="D737" s="1" t="s">
        <v>4820</v>
      </c>
      <c r="E737" s="5" t="str">
        <f>HYPERLINK("mailto:info@historicbanningmills.com","info@historicbanningmills.com")</f>
        <v>info@historicbanningmills.com</v>
      </c>
      <c r="F737" s="6" t="str">
        <f>HYPERLINK("http://www.historicbanningmills.com")</f>
        <v>http://www.historicbanningmills.com</v>
      </c>
    </row>
    <row r="738" spans="1:6" ht="15">
      <c r="A738" s="2" t="s">
        <v>1825</v>
      </c>
      <c r="B738" s="1" t="s">
        <v>1826</v>
      </c>
      <c r="C738" s="1" t="s">
        <v>1827</v>
      </c>
      <c r="D738" s="1" t="s">
        <v>4821</v>
      </c>
      <c r="E738" s="5" t="str">
        <f>HYPERLINK("mailto:hcfinc@historiccolumbus.com","hcfinc@historiccolumbus.com")</f>
        <v>hcfinc@historiccolumbus.com</v>
      </c>
      <c r="F738" s="6" t="str">
        <f>HYPERLINK("http://www.historiccolumbus.com")</f>
        <v>http://www.historiccolumbus.com</v>
      </c>
    </row>
    <row r="739" spans="1:6" ht="15">
      <c r="A739" s="2" t="s">
        <v>4153</v>
      </c>
      <c r="B739" s="1" t="s">
        <v>4154</v>
      </c>
      <c r="C739" s="1" t="s">
        <v>4155</v>
      </c>
      <c r="D739" s="1" t="s">
        <v>5480</v>
      </c>
      <c r="E739" s="5" t="str">
        <f>HYPERLINK("mailto:mpicon@thedesoto.org","mpicon@thedesoto.org")</f>
        <v>mpicon@thedesoto.org</v>
      </c>
      <c r="F739" s="6" t="str">
        <f>HYPERLINK("https://www.thedesoto.org/")</f>
        <v>https://www.thedesoto.org/</v>
      </c>
    </row>
    <row r="740" spans="1:7" ht="15">
      <c r="A740" s="2" t="s">
        <v>3712</v>
      </c>
      <c r="D740" s="1" t="s">
        <v>5355</v>
      </c>
      <c r="E740" s="5" t="str">
        <f>HYPERLINK("mailto:ssnbrry@charter.net","ssnbrry@charter.net")</f>
        <v>ssnbrry@charter.net</v>
      </c>
      <c r="G740" s="5" t="str">
        <f>HYPERLINK("https://www.facebook.com/original.hdps")</f>
        <v>https://www.facebook.com/original.hdps</v>
      </c>
    </row>
    <row r="741" spans="1:5" ht="15">
      <c r="A741" s="2" t="s">
        <v>2731</v>
      </c>
      <c r="B741" s="1" t="s">
        <v>2732</v>
      </c>
      <c r="C741" s="1" t="s">
        <v>2733</v>
      </c>
      <c r="D741" s="1" t="s">
        <v>5085</v>
      </c>
      <c r="E741" s="5" t="str">
        <f>HYPERLINK("mailto:Info@historiceffinghamsociety.org","Info@historiceffinghamsociety.org")</f>
        <v>Info@historiceffinghamsociety.org</v>
      </c>
    </row>
    <row r="742" spans="1:3" ht="30">
      <c r="A742" s="2" t="s">
        <v>3709</v>
      </c>
      <c r="B742" s="1" t="s">
        <v>3710</v>
      </c>
      <c r="C742" s="1" t="s">
        <v>3711</v>
      </c>
    </row>
    <row r="743" spans="1:6" ht="15">
      <c r="A743" s="2" t="s">
        <v>2885</v>
      </c>
      <c r="B743" s="1" t="s">
        <v>2886</v>
      </c>
      <c r="C743" s="1" t="s">
        <v>2887</v>
      </c>
      <c r="D743" s="1" t="s">
        <v>4524</v>
      </c>
      <c r="F743" s="6" t="str">
        <f>HYPERLINK("https://www.haralsoncountyhistory.com/managed-properties.html")</f>
        <v>https://www.haralsoncountyhistory.com/managed-properties.html</v>
      </c>
    </row>
    <row r="744" spans="1:6" ht="15">
      <c r="A744" s="2" t="s">
        <v>3094</v>
      </c>
      <c r="D744" s="1" t="s">
        <v>4524</v>
      </c>
      <c r="F744" s="6" t="str">
        <f>HYPERLINK("https://www.haralsoncountyhistory.com/")</f>
        <v>https://www.haralsoncountyhistory.com/</v>
      </c>
    </row>
    <row r="745" spans="1:6" ht="15">
      <c r="A745" s="2" t="s">
        <v>3468</v>
      </c>
      <c r="B745" s="1" t="s">
        <v>3469</v>
      </c>
      <c r="C745" s="1" t="s">
        <v>3470</v>
      </c>
      <c r="D745" s="1" t="s">
        <v>5297</v>
      </c>
      <c r="E745" s="5" t="str">
        <f>HYPERLINK("mailto:HLFadmin@knology.net","HLFadmin@knology.net")</f>
        <v>HLFadmin@knology.net</v>
      </c>
      <c r="F745" s="6" t="str">
        <f>HYPERLINK("http://linwoodcemetery.org/")</f>
        <v>http://linwoodcemetery.org/</v>
      </c>
    </row>
    <row r="746" spans="1:8" ht="15">
      <c r="A746" s="2" t="s">
        <v>311</v>
      </c>
      <c r="B746" s="1" t="s">
        <v>312</v>
      </c>
      <c r="C746" s="1" t="s">
        <v>313</v>
      </c>
      <c r="D746" s="1" t="s">
        <v>4367</v>
      </c>
      <c r="E746" s="5" t="str">
        <f>HYPERLINK("mailto:info@historicmacon.org","info@historicmacon.org")</f>
        <v>info@historicmacon.org</v>
      </c>
      <c r="F746" s="6" t="str">
        <f>HYPERLINK("http://www.historicmacon.org/")</f>
        <v>http://www.historicmacon.org/</v>
      </c>
      <c r="H746" s="5" t="str">
        <f>HYPERLINK("https://twitter.com/historicmacon")</f>
        <v>https://twitter.com/historicmacon</v>
      </c>
    </row>
    <row r="747" spans="1:6" ht="15">
      <c r="A747" s="2" t="s">
        <v>3758</v>
      </c>
      <c r="E747" s="5" t="str">
        <f>HYPERLINK("mailto:historic@mg-rc.org","historic@mg-rc.org")</f>
        <v>historic@mg-rc.org</v>
      </c>
      <c r="F747" s="6" t="str">
        <f>HYPERLINK("http://www.historicmiddlegeorgia.org/")</f>
        <v>http://www.historicmiddlegeorgia.org/</v>
      </c>
    </row>
    <row r="748" spans="1:3" ht="15">
      <c r="A748" s="2" t="s">
        <v>3889</v>
      </c>
      <c r="B748" s="1" t="s">
        <v>3890</v>
      </c>
      <c r="C748" s="1" t="s">
        <v>3891</v>
      </c>
    </row>
    <row r="749" spans="1:5" ht="15">
      <c r="A749" s="2" t="s">
        <v>2734</v>
      </c>
      <c r="D749" s="1" t="s">
        <v>5086</v>
      </c>
      <c r="E749" s="5" t="str">
        <f>HYPERLINK("mailto:hoglethorpecounty@gmail.com","hoglethorpecounty@gmail.com")</f>
        <v>hoglethorpecounty@gmail.com</v>
      </c>
    </row>
    <row r="750" spans="1:7" ht="15">
      <c r="A750" s="2" t="s">
        <v>3719</v>
      </c>
      <c r="D750" s="1" t="s">
        <v>5086</v>
      </c>
      <c r="E750" s="5" t="str">
        <f>HYPERLINK("mailto:hoglethorpecounty@gmail.com","hoglethorpecounty@gmail.com")</f>
        <v>hoglethorpecounty@gmail.com</v>
      </c>
      <c r="G750" s="5" t="str">
        <f>HYPERLINK("https://www.facebook.com/GoosePond1780")</f>
        <v>https://www.facebook.com/GoosePond1780</v>
      </c>
    </row>
    <row r="751" spans="1:6" ht="15">
      <c r="A751" s="2" t="s">
        <v>2735</v>
      </c>
      <c r="B751" s="1" t="s">
        <v>2736</v>
      </c>
      <c r="C751" s="1" t="s">
        <v>2737</v>
      </c>
      <c r="F751" s="6" t="str">
        <f>HYPERLINK("https://historicsocialcirclega.com/")</f>
        <v>https://historicsocialcirclega.com/</v>
      </c>
    </row>
    <row r="752" spans="1:6" ht="15">
      <c r="A752" s="2" t="s">
        <v>3471</v>
      </c>
      <c r="B752" s="1" t="s">
        <v>3472</v>
      </c>
      <c r="C752" s="1" t="s">
        <v>3473</v>
      </c>
      <c r="F752" s="6" t="str">
        <f>HYPERLINK("https://www.hrcga.org/")</f>
        <v>https://www.hrcga.org/</v>
      </c>
    </row>
    <row r="753" spans="1:6" ht="15">
      <c r="A753" s="2" t="s">
        <v>2738</v>
      </c>
      <c r="B753" s="1" t="s">
        <v>2739</v>
      </c>
      <c r="C753" s="1" t="s">
        <v>2740</v>
      </c>
      <c r="D753" s="1" t="s">
        <v>5087</v>
      </c>
      <c r="F753" s="6" t="str">
        <f>HYPERLINK("http://www.myhsf.org/")</f>
        <v>http://www.myhsf.org/</v>
      </c>
    </row>
    <row r="754" spans="1:3" ht="15">
      <c r="A754" s="2" t="s">
        <v>85</v>
      </c>
      <c r="B754" s="1" t="s">
        <v>86</v>
      </c>
      <c r="C754" s="1" t="s">
        <v>87</v>
      </c>
    </row>
    <row r="755" spans="1:4" ht="15">
      <c r="A755" s="2" t="s">
        <v>2775</v>
      </c>
      <c r="B755" s="1" t="s">
        <v>2776</v>
      </c>
      <c r="C755" s="1" t="s">
        <v>2777</v>
      </c>
      <c r="D755" s="1" t="s">
        <v>5099</v>
      </c>
    </row>
    <row r="756" spans="1:6" ht="15">
      <c r="A756" s="2" t="s">
        <v>2313</v>
      </c>
      <c r="B756" s="1" t="s">
        <v>2314</v>
      </c>
      <c r="C756" s="1" t="s">
        <v>2315</v>
      </c>
      <c r="D756" s="1" t="s">
        <v>4785</v>
      </c>
      <c r="E756" s="5" t="str">
        <f>HYPERLINK("mailto:executivedirector@newnancowetahistoricalsociety.com","executivedirector@newnancowetahistoricalsociety.com")</f>
        <v>executivedirector@newnancowetahistoricalsociety.com</v>
      </c>
      <c r="F756" s="6" t="str">
        <f>HYPERLINK("http://newnancowetahistoricalsociety.com/visit/")</f>
        <v>http://newnancowetahistoricalsociety.com/visit/</v>
      </c>
    </row>
    <row r="757" spans="1:6" ht="15">
      <c r="A757" s="2" t="s">
        <v>1925</v>
      </c>
      <c r="B757" s="1" t="s">
        <v>1926</v>
      </c>
      <c r="C757" s="1" t="s">
        <v>1927</v>
      </c>
      <c r="D757" s="1" t="s">
        <v>4852</v>
      </c>
      <c r="E757" s="5" t="str">
        <f>HYPERLINK("mailto:info@westville.org","info@westville.org")</f>
        <v>info@westville.org</v>
      </c>
      <c r="F757" s="6" t="str">
        <f>HYPERLINK("http://www.westville.org")</f>
        <v>http://www.westville.org</v>
      </c>
    </row>
    <row r="758" spans="1:3" ht="30">
      <c r="A758" s="2" t="s">
        <v>3720</v>
      </c>
      <c r="B758" s="1" t="s">
        <v>3721</v>
      </c>
      <c r="C758" s="1" t="s">
        <v>3722</v>
      </c>
    </row>
    <row r="759" spans="1:6" ht="15">
      <c r="A759" s="2" t="s">
        <v>2741</v>
      </c>
      <c r="D759" s="1" t="s">
        <v>5088</v>
      </c>
      <c r="E759" s="5" t="str">
        <f>HYPERLINK("mailto:info@historicforsyth.com","info@historicforsyth.com")</f>
        <v>info@historicforsyth.com</v>
      </c>
      <c r="F759" s="6" t="str">
        <f>HYPERLINK("http://www.historicforsyth.com/hscfc/")</f>
        <v>http://www.historicforsyth.com/hscfc/</v>
      </c>
    </row>
    <row r="760" spans="1:6" ht="15">
      <c r="A760" s="2" t="s">
        <v>2742</v>
      </c>
      <c r="D760" s="1" t="s">
        <v>5089</v>
      </c>
      <c r="F760" s="6" t="str">
        <f>HYPERLINK("https://www.historicalsocietyofwaltoncounty.org/")</f>
        <v>https://www.historicalsocietyofwaltoncounty.org/</v>
      </c>
    </row>
    <row r="761" spans="1:6" ht="15">
      <c r="A761" s="2" t="s">
        <v>261</v>
      </c>
      <c r="B761" s="1" t="s">
        <v>262</v>
      </c>
      <c r="C761" s="1" t="s">
        <v>263</v>
      </c>
      <c r="D761" s="1" t="s">
        <v>4354</v>
      </c>
      <c r="F761" s="6" t="str">
        <f>HYPERLINK("https://gastateparks.org/HofwylBroadfieldPlantation")</f>
        <v>https://gastateparks.org/HofwylBroadfieldPlantation</v>
      </c>
    </row>
    <row r="762" spans="1:6" ht="30">
      <c r="A762" s="2" t="s">
        <v>1222</v>
      </c>
      <c r="B762" s="1" t="s">
        <v>1223</v>
      </c>
      <c r="C762" s="1" t="s">
        <v>1224</v>
      </c>
      <c r="D762" s="1" t="s">
        <v>4644</v>
      </c>
      <c r="E762" s="5" t="str">
        <f>HYPERLINK("mailto:sgaskins@trrl.org","sgaskins@trrl.org")</f>
        <v>sgaskins@trrl.org</v>
      </c>
      <c r="F762" s="6" t="str">
        <f>HYPERLINK("https://threeriverslibraries.org/wordpress-dev/library-locations/hog-hammock-public-library/")</f>
        <v>https://threeriverslibraries.org/wordpress-dev/library-locations/hog-hammock-public-library/</v>
      </c>
    </row>
    <row r="763" spans="1:6" ht="15">
      <c r="A763" s="2" t="s">
        <v>1507</v>
      </c>
      <c r="B763" s="1" t="s">
        <v>1508</v>
      </c>
      <c r="C763" s="1" t="s">
        <v>1509</v>
      </c>
      <c r="D763" s="1" t="s">
        <v>4733</v>
      </c>
      <c r="F763" s="6" t="str">
        <f>HYPERLINK("https://thrl.org/hogansville-public-library/")</f>
        <v>https://thrl.org/hogansville-public-library/</v>
      </c>
    </row>
    <row r="764" spans="1:7" ht="15">
      <c r="A764" s="2" t="s">
        <v>4156</v>
      </c>
      <c r="D764" s="1" t="s">
        <v>5481</v>
      </c>
      <c r="E764" s="5" t="str">
        <f>HYPERLINK("mailto:hogansvilleraa@gmail.com","hogansvilleraa@gmail.com")</f>
        <v>hogansvilleraa@gmail.com</v>
      </c>
      <c r="G764" s="5" t="str">
        <f>HYPERLINK("https://www.facebook.com/HogansvilleRegionalArtsAssociation")</f>
        <v>https://www.facebook.com/HogansvilleRegionalArtsAssociation</v>
      </c>
    </row>
    <row r="765" spans="1:6" ht="15">
      <c r="A765" s="2" t="s">
        <v>3944</v>
      </c>
      <c r="B765" s="1" t="s">
        <v>3945</v>
      </c>
      <c r="C765" s="1" t="s">
        <v>3946</v>
      </c>
      <c r="D765" s="1" t="s">
        <v>5408</v>
      </c>
      <c r="E765" s="5" t="str">
        <f>HYPERLINK("mailto:StarkLawLibrary@gwinnettcounty.com","StarkLawLibrary@gwinnettcounty.com")</f>
        <v>StarkLawLibrary@gwinnettcounty.com</v>
      </c>
      <c r="F765" s="6" t="str">
        <f>HYPERLINK("http://www.gcll.org/home.html")</f>
        <v>http://www.gcll.org/home.html</v>
      </c>
    </row>
    <row r="766" spans="1:6" ht="15">
      <c r="A766" s="2" t="s">
        <v>376</v>
      </c>
      <c r="B766" s="1" t="s">
        <v>377</v>
      </c>
      <c r="C766" s="1" t="s">
        <v>378</v>
      </c>
      <c r="D766" s="1" t="s">
        <v>4385</v>
      </c>
      <c r="F766" s="6" t="str">
        <f>HYPERLINK("https://library.kennesaw.edu/")</f>
        <v>https://library.kennesaw.edu/</v>
      </c>
    </row>
    <row r="767" spans="1:3" ht="15">
      <c r="A767" s="2" t="s">
        <v>153</v>
      </c>
      <c r="C767" s="1" t="s">
        <v>154</v>
      </c>
    </row>
    <row r="768" spans="1:7" ht="15">
      <c r="A768" s="2" t="s">
        <v>3959</v>
      </c>
      <c r="B768" s="1" t="s">
        <v>3960</v>
      </c>
      <c r="C768" s="1" t="s">
        <v>3961</v>
      </c>
      <c r="F768" s="6" t="str">
        <f>HYPERLINK("https://houstonmuseum1886.wordpress.com/")</f>
        <v>https://houstonmuseum1886.wordpress.com/</v>
      </c>
      <c r="G768" s="5" t="str">
        <f>HYPERLINK("https://www.facebook.com/HoustonMuseumPortWentworth")</f>
        <v>https://www.facebook.com/HoustonMuseumPortWentworth</v>
      </c>
    </row>
    <row r="769" spans="1:6" ht="15">
      <c r="A769" s="2" t="s">
        <v>3325</v>
      </c>
      <c r="B769" s="1" t="s">
        <v>3326</v>
      </c>
      <c r="C769" s="1" t="s">
        <v>3327</v>
      </c>
      <c r="D769" s="1" t="s">
        <v>5254</v>
      </c>
      <c r="F769" s="6" t="str">
        <f>HYPERLINK("http://library.law.emory.edu/index.html")</f>
        <v>http://library.law.emory.edu/index.html</v>
      </c>
    </row>
    <row r="770" spans="1:6" ht="15">
      <c r="A770" s="2" t="s">
        <v>2743</v>
      </c>
      <c r="B770" s="1" t="s">
        <v>2744</v>
      </c>
      <c r="C770" s="1" t="s">
        <v>2745</v>
      </c>
      <c r="D770" s="1" t="s">
        <v>5090</v>
      </c>
      <c r="E770" s="5" t="str">
        <f>HYPERLINK("mailto:contact@huguenotga.org","contact@huguenotga.org")</f>
        <v>contact@huguenotga.org</v>
      </c>
      <c r="F770" s="6" t="str">
        <f>HYPERLINK("https://huguenotga.org/")</f>
        <v>https://huguenotga.org/</v>
      </c>
    </row>
    <row r="771" spans="1:6" ht="30">
      <c r="A771" s="2" t="s">
        <v>2746</v>
      </c>
      <c r="B771" s="1" t="s">
        <v>2747</v>
      </c>
      <c r="C771" s="1" t="s">
        <v>2748</v>
      </c>
      <c r="E771" s="5" t="str">
        <f>HYPERLINK("mailto:lenawiley7@yahoo.com","lenawiley7@yahoo.com")</f>
        <v>lenawiley7@yahoo.com</v>
      </c>
      <c r="F771" s="6" t="str">
        <f>HYPERLINK("https://www.huguenotmanakin.org/georgia")</f>
        <v>https://www.huguenotmanakin.org/georgia</v>
      </c>
    </row>
    <row r="772" spans="1:6" ht="15">
      <c r="A772" s="2" t="s">
        <v>668</v>
      </c>
      <c r="D772" s="1" t="s">
        <v>4464</v>
      </c>
      <c r="E772" s="5" t="str">
        <f>HYPERLINK("mailto:info@hurnmuseum.org","info@hurnmuseum.org")</f>
        <v>info@hurnmuseum.org</v>
      </c>
      <c r="F772" s="6" t="str">
        <f>HYPERLINK("http://www.hurnmuseum.org/")</f>
        <v>http://www.hurnmuseum.org/</v>
      </c>
    </row>
    <row r="773" spans="1:6" ht="15">
      <c r="A773" s="2" t="s">
        <v>2749</v>
      </c>
      <c r="B773" s="1" t="s">
        <v>2750</v>
      </c>
      <c r="C773" s="1" t="s">
        <v>2751</v>
      </c>
      <c r="D773" s="1" t="s">
        <v>4464</v>
      </c>
      <c r="E773" s="5" t="str">
        <f>HYPERLINK("mailto:info@hurnmuseum.org","info@hurnmuseum.org")</f>
        <v>info@hurnmuseum.org</v>
      </c>
      <c r="F773" s="6" t="str">
        <f>HYPERLINK("http://www.hurnmuseum.org")</f>
        <v>http://www.hurnmuseum.org</v>
      </c>
    </row>
    <row r="774" spans="1:6" ht="15">
      <c r="A774" s="2" t="s">
        <v>423</v>
      </c>
      <c r="B774" s="1" t="s">
        <v>424</v>
      </c>
      <c r="C774" s="1" t="s">
        <v>425</v>
      </c>
      <c r="D774" s="1" t="s">
        <v>4399</v>
      </c>
      <c r="F774" s="6" t="str">
        <f>HYPERLINK("https://www.hurricaneshoalspark.org/")</f>
        <v>https://www.hurricaneshoalspark.org/</v>
      </c>
    </row>
    <row r="775" spans="1:2" ht="15">
      <c r="A775" s="2" t="s">
        <v>4288</v>
      </c>
      <c r="B775" s="1" t="s">
        <v>42</v>
      </c>
    </row>
    <row r="776" spans="1:6" ht="15">
      <c r="A776" s="2" t="s">
        <v>2752</v>
      </c>
      <c r="D776" s="1" t="s">
        <v>5091</v>
      </c>
      <c r="E776" s="5" t="str">
        <f>HYPERLINK("mailto:huxford@windstream.net","huxford@windstream.net")</f>
        <v>huxford@windstream.net</v>
      </c>
      <c r="F776" s="6" t="str">
        <f>HYPERLINK("https://www.huxford.com/")</f>
        <v>https://www.huxford.com/</v>
      </c>
    </row>
    <row r="777" spans="1:5" ht="15">
      <c r="A777" s="2" t="s">
        <v>3062</v>
      </c>
      <c r="B777" s="1" t="s">
        <v>3063</v>
      </c>
      <c r="C777" s="1" t="s">
        <v>3064</v>
      </c>
      <c r="D777" s="1" t="s">
        <v>5091</v>
      </c>
      <c r="E777" s="5" t="str">
        <f>HYPERLINK("mailto:huxford.spearlibrary@windstream.net","huxford.spearlibrary@windstream.net")</f>
        <v>huxford.spearlibrary@windstream.net</v>
      </c>
    </row>
    <row r="778" spans="1:3" ht="15">
      <c r="A778" s="2" t="s">
        <v>0</v>
      </c>
      <c r="C778" s="1" t="s">
        <v>1</v>
      </c>
    </row>
    <row r="779" spans="1:6" ht="30">
      <c r="A779" s="2" t="s">
        <v>1216</v>
      </c>
      <c r="B779" s="1" t="s">
        <v>1217</v>
      </c>
      <c r="C779" s="1" t="s">
        <v>1218</v>
      </c>
      <c r="D779" s="1" t="s">
        <v>4642</v>
      </c>
      <c r="E779" s="5" t="str">
        <f>HYPERLINK("mailto:bsawyer@trrl.org","bsawyer@trrl.org")</f>
        <v>bsawyer@trrl.org</v>
      </c>
      <c r="F779" s="6" t="str">
        <f>HYPERLINK("https://threeriverslibraries.org/wordpress-dev/library-locations/ida-hilton-public-library/")</f>
        <v>https://threeriverslibraries.org/wordpress-dev/library-locations/ida-hilton-public-library/</v>
      </c>
    </row>
    <row r="780" spans="1:6" ht="15">
      <c r="A780" s="2" t="s">
        <v>802</v>
      </c>
      <c r="B780" s="1" t="s">
        <v>803</v>
      </c>
      <c r="C780" s="1" t="s">
        <v>804</v>
      </c>
      <c r="D780" s="1" t="s">
        <v>4506</v>
      </c>
      <c r="F780" s="6" t="str">
        <f>HYPERLINK("http://bibblib.org/locations/ideal-public-library/")</f>
        <v>http://bibblib.org/locations/ideal-public-library/</v>
      </c>
    </row>
    <row r="781" spans="1:3" ht="15">
      <c r="A781" s="2" t="s">
        <v>155</v>
      </c>
      <c r="C781" s="1" t="s">
        <v>156</v>
      </c>
    </row>
    <row r="782" spans="1:6" ht="15">
      <c r="A782" s="2" t="s">
        <v>3726</v>
      </c>
      <c r="B782" s="1" t="s">
        <v>3727</v>
      </c>
      <c r="C782" s="1" t="s">
        <v>3728</v>
      </c>
      <c r="D782" s="1" t="s">
        <v>5358</v>
      </c>
      <c r="F782" s="6" t="str">
        <f>HYPERLINK("https://www.imagineaugusta.org/")</f>
        <v>https://www.imagineaugusta.org/</v>
      </c>
    </row>
    <row r="783" spans="1:8" ht="15">
      <c r="A783" s="2" t="s">
        <v>669</v>
      </c>
      <c r="C783" s="1" t="s">
        <v>413</v>
      </c>
      <c r="F783" s="6" t="str">
        <f>HYPERLINK("http://www.childrensmuseumatlanta.org/")</f>
        <v>http://www.childrensmuseumatlanta.org/</v>
      </c>
      <c r="G783" s="5" t="str">
        <f>HYPERLINK("https://www.facebook.com/childrensmuseumatlanta")</f>
        <v>https://www.facebook.com/childrensmuseumatlanta</v>
      </c>
      <c r="H783" s="5" t="str">
        <f>HYPERLINK("https://twitter.com/ChildMuseumATL")</f>
        <v>https://twitter.com/ChildMuseumATL</v>
      </c>
    </row>
    <row r="784" spans="1:6" ht="15">
      <c r="A784" s="2" t="s">
        <v>2753</v>
      </c>
      <c r="B784" s="1" t="s">
        <v>2754</v>
      </c>
      <c r="C784" s="1" t="s">
        <v>2755</v>
      </c>
      <c r="D784" s="1" t="s">
        <v>5092</v>
      </c>
      <c r="F784" s="6" t="str">
        <f>HYPERLINK("https://gastateparks.org/IndianSprings")</f>
        <v>https://gastateparks.org/IndianSprings</v>
      </c>
    </row>
    <row r="785" spans="1:8" ht="15">
      <c r="A785" s="2" t="s">
        <v>4160</v>
      </c>
      <c r="D785" s="1" t="s">
        <v>5483</v>
      </c>
      <c r="F785" s="6" t="str">
        <f>HYPERLINK("http://inspiredachievements.org/")</f>
        <v>http://inspiredachievements.org/</v>
      </c>
      <c r="G785" s="5" t="str">
        <f>HYPERLINK("https://www.facebook.com/InspiredAchievementsInc")</f>
        <v>https://www.facebook.com/InspiredAchievementsInc</v>
      </c>
      <c r="H785" s="5" t="str">
        <f>HYPERLINK("https://twitter.com/AchieveInspired")</f>
        <v>https://twitter.com/AchieveInspired</v>
      </c>
    </row>
    <row r="786" spans="1:6" ht="15">
      <c r="A786" s="2" t="s">
        <v>1492</v>
      </c>
      <c r="B786" s="1" t="s">
        <v>1493</v>
      </c>
      <c r="C786" s="1" t="s">
        <v>1494</v>
      </c>
      <c r="D786" s="1" t="s">
        <v>4728</v>
      </c>
      <c r="F786" s="6" t="str">
        <f>HYPERLINK("https://www.cprl.org/irwin/")</f>
        <v>https://www.cprl.org/irwin/</v>
      </c>
    </row>
    <row r="787" spans="1:6" ht="15">
      <c r="A787" s="2" t="s">
        <v>670</v>
      </c>
      <c r="B787" s="1" t="s">
        <v>671</v>
      </c>
      <c r="C787" s="1" t="s">
        <v>672</v>
      </c>
      <c r="D787" s="1" t="s">
        <v>4465</v>
      </c>
      <c r="E787" s="5" t="str">
        <f>HYPERLINK("mailto:info@davenporthousemuseum.org","info@davenporthousemuseum.org")</f>
        <v>info@davenporthousemuseum.org</v>
      </c>
      <c r="F787" s="6" t="str">
        <f>HYPERLINK("http://www.davenporthousemuseum.org/")</f>
        <v>http://www.davenporthousemuseum.org/</v>
      </c>
    </row>
    <row r="788" spans="1:6" ht="15">
      <c r="A788" s="2" t="s">
        <v>2156</v>
      </c>
      <c r="B788" s="1" t="s">
        <v>2157</v>
      </c>
      <c r="C788" s="1" t="s">
        <v>2158</v>
      </c>
      <c r="D788" s="1" t="s">
        <v>4916</v>
      </c>
      <c r="E788" s="5" t="str">
        <f>HYPERLINK("mailto:rogersm@liveoakpl.org","rogersm@liveoakpl.org")</f>
        <v>rogersm@liveoakpl.org</v>
      </c>
      <c r="F788" s="6" t="str">
        <f>HYPERLINK("https://liveoakpl.org/locations/islands")</f>
        <v>https://liveoakpl.org/locations/islands</v>
      </c>
    </row>
    <row r="789" spans="1:6" ht="15">
      <c r="A789" s="2" t="s">
        <v>3755</v>
      </c>
      <c r="B789" s="1" t="s">
        <v>3756</v>
      </c>
      <c r="C789" s="1" t="s">
        <v>3757</v>
      </c>
      <c r="F789" s="6" t="str">
        <f>HYPERLINK("http://www.iohha.com/")</f>
        <v>http://www.iohha.com/</v>
      </c>
    </row>
    <row r="790" spans="1:6" ht="15">
      <c r="A790" s="2" t="s">
        <v>2759</v>
      </c>
      <c r="B790" s="1" t="s">
        <v>2760</v>
      </c>
      <c r="C790" s="1" t="s">
        <v>2761</v>
      </c>
      <c r="D790" s="1" t="s">
        <v>5094</v>
      </c>
      <c r="E790" s="5" t="str">
        <f>HYPERLINK("mailto:info@istanbulcenter.org","info@istanbulcenter.org")</f>
        <v>info@istanbulcenter.org</v>
      </c>
      <c r="F790" s="6" t="str">
        <f>HYPERLINK("http://www.istanbulcenter.org")</f>
        <v>http://www.istanbulcenter.org</v>
      </c>
    </row>
    <row r="791" spans="1:6" ht="15">
      <c r="A791" s="2" t="s">
        <v>1432</v>
      </c>
      <c r="B791" s="1" t="s">
        <v>1433</v>
      </c>
      <c r="C791" s="1" t="s">
        <v>1434</v>
      </c>
      <c r="D791" s="1" t="s">
        <v>4708</v>
      </c>
      <c r="F791" s="6" t="str">
        <f>HYPERLINK("https://www.frrls.net/flint-river-slider/j-joel-edwards-public-library")</f>
        <v>https://www.frrls.net/flint-river-slider/j-joel-edwards-public-library</v>
      </c>
    </row>
    <row r="792" spans="1:7" ht="15">
      <c r="A792" s="2" t="s">
        <v>1828</v>
      </c>
      <c r="B792" s="1" t="s">
        <v>1829</v>
      </c>
      <c r="C792" s="1" t="s">
        <v>1830</v>
      </c>
      <c r="D792" s="1" t="s">
        <v>4822</v>
      </c>
      <c r="E792" s="5" t="str">
        <f>HYPERLINK("mailto:info@jackhadleyblackhistorymuseum.com","info@jackhadleyblackhistorymuseum.com")</f>
        <v>info@jackhadleyblackhistorymuseum.com</v>
      </c>
      <c r="F792" s="6" t="str">
        <f>HYPERLINK("https://jackhadleyblackhistorymuseum.com/")</f>
        <v>https://jackhadleyblackhistorymuseum.com/</v>
      </c>
      <c r="G792" s="5" t="str">
        <f>HYPERLINK("https://www.facebook.com/Jack-Hadley-Black-History-Museum-469981080093")</f>
        <v>https://www.facebook.com/Jack-Hadley-Black-History-Museum-469981080093</v>
      </c>
    </row>
    <row r="793" spans="1:6" ht="15">
      <c r="A793" s="2" t="s">
        <v>2860</v>
      </c>
      <c r="B793" s="1" t="s">
        <v>2861</v>
      </c>
      <c r="C793" s="1" t="s">
        <v>2862</v>
      </c>
      <c r="D793" s="1" t="s">
        <v>5127</v>
      </c>
      <c r="F793" s="6" t="str">
        <f>HYPERLINK("https://libraries.mercer.edu/about-us/about-tarver")</f>
        <v>https://libraries.mercer.edu/about-us/about-tarver</v>
      </c>
    </row>
    <row r="794" spans="1:7" ht="15">
      <c r="A794" s="2" t="s">
        <v>3138</v>
      </c>
      <c r="B794" s="1" t="s">
        <v>2209</v>
      </c>
      <c r="C794" s="1" t="s">
        <v>3139</v>
      </c>
      <c r="D794" s="1" t="s">
        <v>4933</v>
      </c>
      <c r="E794" s="5" t="str">
        <f>HYPERLINK("mailto:tina313@mindspring.com","tina313@mindspring.com")</f>
        <v>tina313@mindspring.com</v>
      </c>
      <c r="G794" s="5" t="str">
        <f>HYPERLINK("https://www.facebook.com/jacksoncountyhistoricalsocietyofga")</f>
        <v>https://www.facebook.com/jacksoncountyhistoricalsocietyofga</v>
      </c>
    </row>
    <row r="795" spans="1:6" ht="30">
      <c r="A795" s="2" t="s">
        <v>673</v>
      </c>
      <c r="B795" s="1" t="s">
        <v>674</v>
      </c>
      <c r="C795" s="1" t="s">
        <v>675</v>
      </c>
      <c r="D795" s="1" t="s">
        <v>4466</v>
      </c>
      <c r="F795" s="6" t="str">
        <f>HYPERLINK("https://www.visitathensga.com/listing/jackson-street-cemetery-old-athens-cemetery/218/")</f>
        <v>https://www.visitathensga.com/listing/jackson-street-cemetery-old-athens-cemetery/218/</v>
      </c>
    </row>
    <row r="796" spans="1:6" ht="30">
      <c r="A796" s="2" t="s">
        <v>1429</v>
      </c>
      <c r="B796" s="1" t="s">
        <v>1430</v>
      </c>
      <c r="C796" s="1" t="s">
        <v>1431</v>
      </c>
      <c r="D796" s="1" t="s">
        <v>4707</v>
      </c>
      <c r="F796" s="6" t="str">
        <f>HYPERLINK("https://www.frrls.net/flint-river-slider/jackson-butts-county-public-library")</f>
        <v>https://www.frrls.net/flint-river-slider/jackson-butts-county-public-library</v>
      </c>
    </row>
    <row r="797" spans="1:6" ht="15">
      <c r="A797" s="2" t="s">
        <v>2762</v>
      </c>
      <c r="B797" s="1" t="s">
        <v>2763</v>
      </c>
      <c r="C797" s="1" t="s">
        <v>2764</v>
      </c>
      <c r="D797" s="1" t="s">
        <v>5095</v>
      </c>
      <c r="E797" s="5" t="str">
        <f>HYPERLINK("mailto:library@gsw.edu","library@gsw.edu")</f>
        <v>library@gsw.edu</v>
      </c>
      <c r="F797" s="6" t="str">
        <f>HYPERLINK("https://www.gsw.edu/library/index")</f>
        <v>https://www.gsw.edu/library/index</v>
      </c>
    </row>
    <row r="798" spans="1:6" ht="30">
      <c r="A798" s="2" t="s">
        <v>2765</v>
      </c>
      <c r="B798" s="1" t="s">
        <v>297</v>
      </c>
      <c r="C798" s="1" t="s">
        <v>2766</v>
      </c>
      <c r="D798" s="1" t="s">
        <v>5096</v>
      </c>
      <c r="E798" s="5" t="str">
        <f>HYPERLINK("mailto:reference@atlantahistorycenter.com","reference@atlantahistorycenter.com")</f>
        <v>reference@atlantahistorycenter.com</v>
      </c>
      <c r="F798" s="6" t="str">
        <f>HYPERLINK("https://www.atlantahistorycenter.com/research/kenan-research-center")</f>
        <v>https://www.atlantahistorycenter.com/research/kenan-research-center</v>
      </c>
    </row>
    <row r="799" spans="1:6" ht="15">
      <c r="A799" s="2" t="s">
        <v>565</v>
      </c>
      <c r="B799" s="1" t="s">
        <v>566</v>
      </c>
      <c r="C799" s="1" t="s">
        <v>567</v>
      </c>
      <c r="D799" s="1" t="s">
        <v>4437</v>
      </c>
      <c r="E799" s="5" t="str">
        <f>HYPERLINK("mailto:circulation@asurams.edu","circulation@asurams.edu")</f>
        <v>circulation@asurams.edu</v>
      </c>
      <c r="F799" s="6" t="str">
        <f>HYPERLINK("https://www.asurams.edu/academic-affairs/library/index.php")</f>
        <v>https://www.asurams.edu/academic-affairs/library/index.php</v>
      </c>
    </row>
    <row r="800" spans="1:6" ht="15">
      <c r="A800" s="2" t="s">
        <v>1015</v>
      </c>
      <c r="B800" s="1" t="s">
        <v>1016</v>
      </c>
      <c r="C800" s="1" t="s">
        <v>1017</v>
      </c>
      <c r="D800" s="1" t="s">
        <v>4576</v>
      </c>
      <c r="F800" s="6" t="str">
        <f>HYPERLINK("http://www.swgrl.org/locations-staff/miller/")</f>
        <v>http://www.swgrl.org/locations-staff/miller/</v>
      </c>
    </row>
    <row r="801" spans="1:6" ht="15">
      <c r="A801" s="2" t="s">
        <v>157</v>
      </c>
      <c r="B801" s="1" t="s">
        <v>158</v>
      </c>
      <c r="C801" s="1" t="s">
        <v>159</v>
      </c>
      <c r="D801" s="1" t="s">
        <v>4330</v>
      </c>
      <c r="F801" s="6" t="str">
        <f>HYPERLINK("https://gastateparks.org/JarrellPlantation")</f>
        <v>https://gastateparks.org/JarrellPlantation</v>
      </c>
    </row>
    <row r="802" spans="1:6" ht="15">
      <c r="A802" s="2" t="s">
        <v>1354</v>
      </c>
      <c r="B802" s="1" t="s">
        <v>1355</v>
      </c>
      <c r="C802" s="1" t="s">
        <v>1356</v>
      </c>
      <c r="D802" s="1" t="s">
        <v>4683</v>
      </c>
      <c r="E802" s="5" t="str">
        <f>HYPERLINK("mailto:jasper@uncleremus.org","jasper@uncleremus.org")</f>
        <v>jasper@uncleremus.org</v>
      </c>
      <c r="F802" s="6" t="str">
        <f>HYPERLINK("http://azalealibraries.org/jasper.htm")</f>
        <v>http://azalealibraries.org/jasper.htm</v>
      </c>
    </row>
    <row r="803" spans="1:6" ht="30">
      <c r="A803" s="2" t="s">
        <v>2194</v>
      </c>
      <c r="B803" s="1" t="s">
        <v>1391</v>
      </c>
      <c r="C803" s="1" t="s">
        <v>2195</v>
      </c>
      <c r="D803" s="1" t="s">
        <v>4694</v>
      </c>
      <c r="F803" s="6" t="str">
        <f>HYPERLINK("http://newtonlibrary.org/about-your-library/branches/newborn-library-service-outlet")</f>
        <v>http://newtonlibrary.org/about-your-library/branches/newborn-library-service-outlet</v>
      </c>
    </row>
    <row r="804" spans="1:7" ht="15">
      <c r="A804" s="2" t="s">
        <v>1549</v>
      </c>
      <c r="B804" s="1" t="s">
        <v>1550</v>
      </c>
      <c r="C804" s="1" t="s">
        <v>1551</v>
      </c>
      <c r="D804" s="1" t="s">
        <v>4747</v>
      </c>
      <c r="E804" s="5" t="str">
        <f>HYPERLINK("mailto:halll@ohoopeelibrary.org","halll@ohoopeelibrary.org")</f>
        <v>halll@ohoopeelibrary.org</v>
      </c>
      <c r="F804" s="6" t="str">
        <f>HYPERLINK("https://ohoopeelibrary.org/locations/jeff-davis-county-public-library/")</f>
        <v>https://ohoopeelibrary.org/locations/jeff-davis-county-public-library/</v>
      </c>
      <c r="G804" s="5" t="str">
        <f>HYPERLINK("https://www.facebook.com/JeffDavisCoLibrary")</f>
        <v>https://www.facebook.com/JeffDavisCoLibrary</v>
      </c>
    </row>
    <row r="805" spans="1:6" ht="15">
      <c r="A805" s="2" t="s">
        <v>2051</v>
      </c>
      <c r="B805" s="1" t="s">
        <v>2052</v>
      </c>
      <c r="C805" s="1" t="s">
        <v>2053</v>
      </c>
      <c r="D805" s="1" t="s">
        <v>4891</v>
      </c>
      <c r="F805" s="6" t="str">
        <f>HYPERLINK("https://arcpls.org/locations/maxwell-2/")</f>
        <v>https://arcpls.org/locations/maxwell-2/</v>
      </c>
    </row>
    <row r="806" spans="1:6" ht="30">
      <c r="A806" s="2" t="s">
        <v>2767</v>
      </c>
      <c r="B806" s="1" t="s">
        <v>2768</v>
      </c>
      <c r="C806" s="1" t="s">
        <v>2769</v>
      </c>
      <c r="D806" s="1" t="s">
        <v>5097</v>
      </c>
      <c r="F806" s="6" t="str">
        <f>HYPERLINK("https://www.cityoflouisvillegeorgia.com/jefferson-county-historical-society/")</f>
        <v>https://www.cityoflouisvillegeorgia.com/jefferson-county-historical-society/</v>
      </c>
    </row>
    <row r="807" spans="1:6" ht="15">
      <c r="A807" s="2" t="s">
        <v>323</v>
      </c>
      <c r="B807" s="1" t="s">
        <v>324</v>
      </c>
      <c r="F807" s="6" t="str">
        <f>HYPERLINK("http://jefferson.public.lib.ga.us/")</f>
        <v>http://jefferson.public.lib.ga.us/</v>
      </c>
    </row>
    <row r="808" spans="1:6" ht="15">
      <c r="A808" s="2" t="s">
        <v>676</v>
      </c>
      <c r="B808" s="1" t="s">
        <v>677</v>
      </c>
      <c r="C808" s="1" t="s">
        <v>678</v>
      </c>
      <c r="D808" s="1" t="s">
        <v>4467</v>
      </c>
      <c r="F808" s="6" t="str">
        <f>HYPERLINK("https://gastateparks.org/JeffersonDavisMemorial")</f>
        <v>https://gastateparks.org/JeffersonDavisMemorial</v>
      </c>
    </row>
    <row r="809" spans="1:6" ht="30">
      <c r="A809" s="2" t="s">
        <v>4298</v>
      </c>
      <c r="F809" s="6" t="str">
        <f>HYPERLINK("https://wacohistorical.org/historical-sites/jefferson-davis-heritage-trail-shermans-march-to-the-sea/")</f>
        <v>https://wacohistorical.org/historical-sites/jefferson-davis-heritage-trail-shermans-march-to-the-sea/</v>
      </c>
    </row>
    <row r="810" spans="1:6" ht="15">
      <c r="A810" s="2" t="s">
        <v>2211</v>
      </c>
      <c r="B810" s="1" t="s">
        <v>2212</v>
      </c>
      <c r="C810" s="1" t="s">
        <v>2213</v>
      </c>
      <c r="D810" s="1" t="s">
        <v>4934</v>
      </c>
      <c r="E810" s="5" t="str">
        <f>HYPERLINK("mailto:lgentle@prlib.org","lgentle@prlib.org")</f>
        <v>lgentle@prlib.org</v>
      </c>
      <c r="F810" s="6" t="str">
        <f>HYPERLINK("http://jefferson.prlib.org/")</f>
        <v>http://jefferson.prlib.org/</v>
      </c>
    </row>
    <row r="811" spans="1:6" ht="15">
      <c r="A811" s="2" t="s">
        <v>679</v>
      </c>
      <c r="B811" s="1" t="s">
        <v>680</v>
      </c>
      <c r="C811" s="1" t="s">
        <v>681</v>
      </c>
      <c r="D811" s="1" t="s">
        <v>4468</v>
      </c>
      <c r="F811" s="6" t="str">
        <f>HYPERLINK("https://www.jekyllisland.com/history/museum/")</f>
        <v>https://www.jekyllisland.com/history/museum/</v>
      </c>
    </row>
    <row r="812" spans="1:6" ht="15">
      <c r="A812" s="2" t="s">
        <v>2372</v>
      </c>
      <c r="B812" s="1" t="s">
        <v>2373</v>
      </c>
      <c r="C812" s="1" t="s">
        <v>2374</v>
      </c>
      <c r="D812" s="1" t="s">
        <v>4976</v>
      </c>
      <c r="E812" s="5" t="str">
        <f>HYPERLINK("mailto:circ@scad.edu","circ@scad.edu")</f>
        <v>circ@scad.edu</v>
      </c>
      <c r="F812" s="6" t="str">
        <f>HYPERLINK("https://www.scad.edu/life/buildings-and-facilities/jen-library")</f>
        <v>https://www.scad.edu/life/buildings-and-facilities/jen-library</v>
      </c>
    </row>
    <row r="813" spans="1:6" ht="15">
      <c r="A813" s="2" t="s">
        <v>1417</v>
      </c>
      <c r="B813" s="1" t="s">
        <v>1418</v>
      </c>
      <c r="C813" s="1" t="s">
        <v>1419</v>
      </c>
      <c r="D813" s="1" t="s">
        <v>4703</v>
      </c>
      <c r="F813" s="6" t="str">
        <f>HYPERLINK("http://www.sjrls.org/")</f>
        <v>http://www.sjrls.org/</v>
      </c>
    </row>
    <row r="814" spans="1:6" ht="15">
      <c r="A814" s="2" t="s">
        <v>253</v>
      </c>
      <c r="B814" s="1" t="s">
        <v>254</v>
      </c>
      <c r="C814" s="1" t="s">
        <v>255</v>
      </c>
      <c r="D814" s="1" t="s">
        <v>4353</v>
      </c>
      <c r="F814" s="6" t="str">
        <f>HYPERLINK("https://www.telfair.org/visit/jepson-center/")</f>
        <v>https://www.telfair.org/visit/jepson-center/</v>
      </c>
    </row>
    <row r="815" spans="1:6" ht="15">
      <c r="A815" s="2" t="s">
        <v>3962</v>
      </c>
      <c r="B815" s="1" t="s">
        <v>3963</v>
      </c>
      <c r="C815" s="1" t="s">
        <v>3964</v>
      </c>
      <c r="D815" s="1" t="s">
        <v>4441</v>
      </c>
      <c r="E815" s="5" t="str">
        <f>HYPERLINK("mailto:lgculler@georgiahistory.com","lgculler@georgiahistory.com")</f>
        <v>lgculler@georgiahistory.com</v>
      </c>
      <c r="F815" s="6" t="str">
        <f>HYPERLINK("https://georgiahistory.com/about-ghs/jepson-house-education-center/")</f>
        <v>https://georgiahistory.com/about-ghs/jepson-house-education-center/</v>
      </c>
    </row>
    <row r="816" spans="1:3" ht="15">
      <c r="A816" s="2" t="s">
        <v>242</v>
      </c>
      <c r="B816" s="1" t="s">
        <v>243</v>
      </c>
      <c r="C816" s="1" t="s">
        <v>244</v>
      </c>
    </row>
    <row r="817" spans="1:8" ht="15">
      <c r="A817" s="2" t="s">
        <v>682</v>
      </c>
      <c r="B817" s="1" t="s">
        <v>4294</v>
      </c>
      <c r="C817" s="1" t="s">
        <v>683</v>
      </c>
      <c r="D817" s="1" t="s">
        <v>4469</v>
      </c>
      <c r="E817" s="5" t="str">
        <f>HYPERLINK("mailto:jnsa.info@jessyenormanschool.org","jnsa.info@jessyenormanschool.org")</f>
        <v>jnsa.info@jessyenormanschool.org</v>
      </c>
      <c r="F817" s="6" t="str">
        <f>HYPERLINK("http://www.jessyenormanschool.org/")</f>
        <v>http://www.jessyenormanschool.org/</v>
      </c>
      <c r="G817" s="5" t="str">
        <f>HYPERLINK("https://www.facebook.com/jessyenormanschool")</f>
        <v>https://www.facebook.com/jessyenormanschool</v>
      </c>
      <c r="H817" s="5" t="str">
        <f>HYPERLINK("https://twitter.com/JessyeSchool")</f>
        <v>https://twitter.com/JessyeSchool</v>
      </c>
    </row>
    <row r="818" spans="1:8" ht="15">
      <c r="A818" s="2" t="s">
        <v>360</v>
      </c>
      <c r="B818" s="1" t="s">
        <v>361</v>
      </c>
      <c r="C818" s="1" t="s">
        <v>362</v>
      </c>
      <c r="D818" s="1" t="s">
        <v>4382</v>
      </c>
      <c r="E818" s="5" t="str">
        <f>HYPERLINK("mailto:carter.library@nara.gov","carter.library@nara.gov")</f>
        <v>carter.library@nara.gov</v>
      </c>
      <c r="F818" s="6" t="str">
        <f>HYPERLINK("https://www.jimmycarterlibrary.gov/")</f>
        <v>https://www.jimmycarterlibrary.gov/</v>
      </c>
      <c r="G818" s="5" t="str">
        <f>HYPERLINK("https://www.facebook.com/CarterPresidentialLibrary")</f>
        <v>https://www.facebook.com/CarterPresidentialLibrary</v>
      </c>
      <c r="H818" s="5" t="str">
        <f>HYPERLINK("https://twitter.com/carterlibrary")</f>
        <v>https://twitter.com/carterlibrary</v>
      </c>
    </row>
    <row r="819" spans="1:6" ht="15">
      <c r="A819" s="2" t="s">
        <v>687</v>
      </c>
      <c r="B819" s="1" t="s">
        <v>688</v>
      </c>
      <c r="C819" s="1" t="s">
        <v>689</v>
      </c>
      <c r="D819" s="1" t="s">
        <v>4471</v>
      </c>
      <c r="F819" s="6" t="str">
        <f>HYPERLINK("https://www.nps.gov/jica/index.htm")</f>
        <v>https://www.nps.gov/jica/index.htm</v>
      </c>
    </row>
    <row r="820" spans="1:6" ht="15">
      <c r="A820" s="2" t="s">
        <v>3729</v>
      </c>
      <c r="B820" s="1" t="s">
        <v>3730</v>
      </c>
      <c r="C820" s="1" t="s">
        <v>3731</v>
      </c>
      <c r="D820" s="1" t="s">
        <v>5359</v>
      </c>
      <c r="E820" s="5" t="str">
        <f>HYPERLINK("mailto:jaam@jimree.org","jaam@jimree.org")</f>
        <v>jaam@jimree.org</v>
      </c>
      <c r="F820" s="6" t="str">
        <f>HYPERLINK("https://jimree.org/")</f>
        <v>https://jimree.org/</v>
      </c>
    </row>
    <row r="821" spans="1:6" ht="15">
      <c r="A821" s="2" t="s">
        <v>3732</v>
      </c>
      <c r="B821" s="1" t="s">
        <v>3733</v>
      </c>
      <c r="D821" s="1" t="s">
        <v>4472</v>
      </c>
      <c r="F821" s="6" t="str">
        <f>HYPERLINK("https://wrensnest.org/education/history-of-the-wrens-nest/")</f>
        <v>https://wrensnest.org/education/history-of-the-wrens-nest/</v>
      </c>
    </row>
    <row r="822" spans="1:6" ht="15">
      <c r="A822" s="2" t="s">
        <v>690</v>
      </c>
      <c r="B822" s="1" t="s">
        <v>691</v>
      </c>
      <c r="C822" s="1" t="s">
        <v>692</v>
      </c>
      <c r="D822" s="1" t="s">
        <v>4472</v>
      </c>
      <c r="E822" s="5" t="str">
        <f>HYPERLINK("mailto:info@wrensnestonline.com","info@wrensnestonline.com")</f>
        <v>info@wrensnestonline.com</v>
      </c>
      <c r="F822" s="6" t="str">
        <f>HYPERLINK("https://wrensnest.org/")</f>
        <v>https://wrensnest.org/</v>
      </c>
    </row>
    <row r="823" spans="1:3" ht="15">
      <c r="A823" s="2" t="s">
        <v>212</v>
      </c>
      <c r="C823" s="1" t="s">
        <v>213</v>
      </c>
    </row>
    <row r="824" spans="1:3" ht="15">
      <c r="A824" s="2" t="s">
        <v>43</v>
      </c>
      <c r="B824" s="1" t="s">
        <v>44</v>
      </c>
      <c r="C824" s="1" t="s">
        <v>45</v>
      </c>
    </row>
    <row r="825" spans="1:6" ht="15">
      <c r="A825" s="2" t="s">
        <v>27</v>
      </c>
      <c r="B825" s="1" t="s">
        <v>28</v>
      </c>
      <c r="C825" s="1" t="s">
        <v>29</v>
      </c>
      <c r="D825" s="1" t="s">
        <v>4309</v>
      </c>
      <c r="F825" s="6" t="str">
        <f>HYPERLINK("https://www.piedmont.edu/johnny-mize-museum")</f>
        <v>https://www.piedmont.edu/johnny-mize-museum</v>
      </c>
    </row>
    <row r="826" spans="1:4" ht="15">
      <c r="A826" s="2" t="s">
        <v>2778</v>
      </c>
      <c r="B826" s="1" t="s">
        <v>2779</v>
      </c>
      <c r="C826" s="1" t="s">
        <v>2780</v>
      </c>
      <c r="D826" s="1" t="s">
        <v>5100</v>
      </c>
    </row>
    <row r="827" spans="1:6" ht="15">
      <c r="A827" s="2" t="s">
        <v>2196</v>
      </c>
      <c r="B827" s="1" t="s">
        <v>2197</v>
      </c>
      <c r="C827" s="1" t="s">
        <v>2198</v>
      </c>
      <c r="D827" s="1" t="s">
        <v>4929</v>
      </c>
      <c r="F827" s="6" t="str">
        <f>HYPERLINK("http://www.ocrl.org/jc-home")</f>
        <v>http://www.ocrl.org/jc-home</v>
      </c>
    </row>
    <row r="828" spans="1:6" ht="15">
      <c r="A828" s="2" t="s">
        <v>1306</v>
      </c>
      <c r="B828" s="1" t="s">
        <v>1307</v>
      </c>
      <c r="C828" s="1" t="s">
        <v>1308</v>
      </c>
      <c r="D828" s="1" t="s">
        <v>4667</v>
      </c>
      <c r="F828" s="6" t="str">
        <f>HYPERLINK("https://sgrl.org/locations/johnston-lakes-library/")</f>
        <v>https://sgrl.org/locations/johnston-lakes-library/</v>
      </c>
    </row>
    <row r="829" spans="1:7" ht="15">
      <c r="A829" s="2" t="s">
        <v>3734</v>
      </c>
      <c r="F829" s="6" t="str">
        <f>HYPERLINK("http://www.jonescountyhistoryandheritage.com/")</f>
        <v>http://www.jonescountyhistoryandheritage.com/</v>
      </c>
      <c r="G829" s="5" t="str">
        <f>HYPERLINK("https://www.facebook.com/JonesCountyGAHistoryandHeritage")</f>
        <v>https://www.facebook.com/JonesCountyGAHistoryandHeritage</v>
      </c>
    </row>
    <row r="830" spans="1:6" ht="15">
      <c r="A830" s="2" t="s">
        <v>2265</v>
      </c>
      <c r="B830" s="1" t="s">
        <v>2266</v>
      </c>
      <c r="C830" s="1" t="s">
        <v>2267</v>
      </c>
      <c r="D830" s="1" t="s">
        <v>4949</v>
      </c>
      <c r="E830" s="5" t="str">
        <f>HYPERLINK("mailto:mgrljo@bibblib.org","mgrljo@bibblib.org")</f>
        <v>mgrljo@bibblib.org</v>
      </c>
      <c r="F830" s="6" t="str">
        <f>HYPERLINK("http://bibblib.org/locations/jones-county-public-library/")</f>
        <v>http://bibblib.org/locations/jones-county-public-library/</v>
      </c>
    </row>
    <row r="831" spans="1:6" ht="15">
      <c r="A831" s="2" t="s">
        <v>937</v>
      </c>
      <c r="B831" s="1" t="s">
        <v>938</v>
      </c>
      <c r="C831" s="1" t="s">
        <v>939</v>
      </c>
      <c r="D831" s="1" t="s">
        <v>4551</v>
      </c>
      <c r="F831" s="6" t="str">
        <f>HYPERLINK("https://claytonpl.org/locations/jonesboro/")</f>
        <v>https://claytonpl.org/locations/jonesboro/</v>
      </c>
    </row>
    <row r="832" spans="1:6" ht="30">
      <c r="A832" s="2" t="s">
        <v>3735</v>
      </c>
      <c r="B832" s="1" t="s">
        <v>3736</v>
      </c>
      <c r="C832" s="1" t="s">
        <v>3737</v>
      </c>
      <c r="D832" s="1" t="s">
        <v>5360</v>
      </c>
      <c r="F832" s="6" t="str">
        <f>HYPERLINK("https://www.claytoncountyfilmtourism.com/listing/jonesboro-firehouse-museum/61/")</f>
        <v>https://www.claytoncountyfilmtourism.com/listing/jonesboro-firehouse-museum/61/</v>
      </c>
    </row>
    <row r="833" spans="1:3" ht="15">
      <c r="A833" s="2" t="s">
        <v>4289</v>
      </c>
      <c r="B833" s="1" t="s">
        <v>46</v>
      </c>
      <c r="C833" s="1" t="s">
        <v>47</v>
      </c>
    </row>
    <row r="834" spans="1:6" ht="15">
      <c r="A834" s="2" t="s">
        <v>693</v>
      </c>
      <c r="B834" s="1" t="s">
        <v>694</v>
      </c>
      <c r="C834" s="1" t="s">
        <v>695</v>
      </c>
      <c r="D834" s="1" t="s">
        <v>4473</v>
      </c>
      <c r="E834" s="5" t="str">
        <f>HYPERLINK("mailto:birthplace@girlscouts.org","birthplace@girlscouts.org")</f>
        <v>birthplace@girlscouts.org</v>
      </c>
      <c r="F834" s="6" t="str">
        <f>HYPERLINK("http://www.juliettegordonlowbirthplace.org/")</f>
        <v>http://www.juliettegordonlowbirthplace.org/</v>
      </c>
    </row>
    <row r="835" spans="1:6" ht="30">
      <c r="A835" s="2" t="s">
        <v>4161</v>
      </c>
      <c r="B835" s="1" t="s">
        <v>4162</v>
      </c>
      <c r="C835" s="1" t="s">
        <v>4163</v>
      </c>
      <c r="D835" s="1" t="s">
        <v>5484</v>
      </c>
      <c r="E835" s="5" t="str">
        <f>HYPERLINK("mailto:cdickey@dickeyfarms.com","cdickey@dickeyfarms.com")</f>
        <v>cdickey@dickeyfarms.com</v>
      </c>
      <c r="F835" s="6" t="str">
        <f>HYPERLINK("https://robertacrawfordchamber.org/business-directory/348/keep-robertacrawford-beautiful/")</f>
        <v>https://robertacrawfordchamber.org/business-directory/348/keep-robertacrawford-beautiful/</v>
      </c>
    </row>
    <row r="836" spans="1:6" ht="15">
      <c r="A836" s="2" t="s">
        <v>958</v>
      </c>
      <c r="B836" s="1" t="s">
        <v>959</v>
      </c>
      <c r="C836" s="1" t="s">
        <v>960</v>
      </c>
      <c r="D836" s="1" t="s">
        <v>4558</v>
      </c>
      <c r="F836" s="6" t="str">
        <f>HYPERLINK("http://www.cobbcat.org/venue/kemp-memorial-library/")</f>
        <v>http://www.cobbcat.org/venue/kemp-memorial-library/</v>
      </c>
    </row>
    <row r="837" spans="1:6" ht="30">
      <c r="A837" s="2" t="s">
        <v>2375</v>
      </c>
      <c r="B837" s="1" t="s">
        <v>2376</v>
      </c>
      <c r="C837" s="1" t="s">
        <v>2377</v>
      </c>
      <c r="D837" s="1" t="s">
        <v>4465</v>
      </c>
      <c r="F837" s="6" t="str">
        <f>HYPERLINK("http://www.davenporthousemuseum.org/rentals/kennedy-pharmacy-2/")</f>
        <v>http://www.davenporthousemuseum.org/rentals/kennedy-pharmacy-2/</v>
      </c>
    </row>
    <row r="838" spans="1:7" ht="15">
      <c r="A838" s="2" t="s">
        <v>2781</v>
      </c>
      <c r="E838" s="5" t="str">
        <f>HYPERLINK("mailto:lpbramlett@hotmail.com","lpbramlett@hotmail.com")</f>
        <v>lpbramlett@hotmail.com</v>
      </c>
      <c r="G838" s="5" t="str">
        <f>HYPERLINK("https://www.facebook.com/kennesawhistoricalsociety")</f>
        <v>https://www.facebook.com/kennesawhistoricalsociety</v>
      </c>
    </row>
    <row r="839" spans="1:6" ht="30">
      <c r="A839" s="2" t="s">
        <v>10</v>
      </c>
      <c r="C839" s="1" t="s">
        <v>11</v>
      </c>
      <c r="F839" s="6" t="str">
        <f>HYPERLINK("https://www.nps.gov/kemo")</f>
        <v>https://www.nps.gov/kemo</v>
      </c>
    </row>
    <row r="840" spans="1:6" ht="15">
      <c r="A840" s="2" t="s">
        <v>2782</v>
      </c>
      <c r="B840" s="1" t="s">
        <v>2783</v>
      </c>
      <c r="C840" s="1" t="s">
        <v>378</v>
      </c>
      <c r="D840" s="1" t="s">
        <v>5101</v>
      </c>
      <c r="E840" s="5" t="str">
        <f>HYPERLINK("mailto:archives@kennesaw.edu","archives@kennesaw.edu")</f>
        <v>archives@kennesaw.edu</v>
      </c>
      <c r="F840" s="6" t="str">
        <f>HYPERLINK("https://archives.kennesaw.edu/index.php")</f>
        <v>https://archives.kennesaw.edu/index.php</v>
      </c>
    </row>
    <row r="841" spans="1:6" ht="15">
      <c r="A841" s="2" t="s">
        <v>2959</v>
      </c>
      <c r="B841" s="1" t="s">
        <v>2960</v>
      </c>
      <c r="C841" s="1" t="s">
        <v>2961</v>
      </c>
      <c r="D841" s="1" t="s">
        <v>5154</v>
      </c>
      <c r="F841" s="6" t="str">
        <f>HYPERLINK("https://library.kennesaw.edu/about/contactus.php")</f>
        <v>https://library.kennesaw.edu/about/contactus.php</v>
      </c>
    </row>
    <row r="842" spans="1:6" ht="15">
      <c r="A842" s="2" t="s">
        <v>108</v>
      </c>
      <c r="F842" s="6" t="str">
        <f>HYPERLINK("https://library.kennesaw.edu/")</f>
        <v>https://library.kennesaw.edu/</v>
      </c>
    </row>
    <row r="843" spans="1:6" ht="15">
      <c r="A843" s="2" t="s">
        <v>2381</v>
      </c>
      <c r="B843" s="1" t="s">
        <v>2382</v>
      </c>
      <c r="C843" s="1" t="s">
        <v>2383</v>
      </c>
      <c r="D843" s="1" t="s">
        <v>4978</v>
      </c>
      <c r="F843" s="6" t="str">
        <f>HYPERLINK("https://www.scad.edu/life/buildings-and-facilities/kiah-hall")</f>
        <v>https://www.scad.edu/life/buildings-and-facilities/kiah-hall</v>
      </c>
    </row>
    <row r="844" spans="1:3" ht="15">
      <c r="A844" s="2" t="s">
        <v>109</v>
      </c>
      <c r="B844" s="1" t="s">
        <v>110</v>
      </c>
      <c r="C844" s="1" t="s">
        <v>111</v>
      </c>
    </row>
    <row r="845" spans="1:8" ht="15">
      <c r="A845" s="2" t="s">
        <v>4164</v>
      </c>
      <c r="B845" s="1" t="s">
        <v>4165</v>
      </c>
      <c r="C845" s="1" t="s">
        <v>4166</v>
      </c>
      <c r="D845" s="1" t="s">
        <v>5485</v>
      </c>
      <c r="E845" s="5" t="str">
        <f>HYPERLINK("mailto:info@kidsvideoconnection.org","info@kidsvideoconnection.org")</f>
        <v>info@kidsvideoconnection.org</v>
      </c>
      <c r="F845" s="6" t="str">
        <f>HYPERLINK("http://kidsvideoconnection.org/")</f>
        <v>http://kidsvideoconnection.org/</v>
      </c>
      <c r="G845" s="5" t="str">
        <f>HYPERLINK("https://www.facebook.com/KidsVideoConnection")</f>
        <v>https://www.facebook.com/KidsVideoConnection</v>
      </c>
      <c r="H845" s="5" t="str">
        <f>HYPERLINK("https://twitter.com/kvconnection")</f>
        <v>https://twitter.com/kvconnection</v>
      </c>
    </row>
    <row r="846" spans="1:6" ht="15">
      <c r="A846" s="2" t="s">
        <v>2787</v>
      </c>
      <c r="B846" s="1" t="s">
        <v>2788</v>
      </c>
      <c r="C846" s="1" t="s">
        <v>2789</v>
      </c>
      <c r="D846" s="1" t="s">
        <v>5103</v>
      </c>
      <c r="E846" s="5" t="str">
        <f>HYPERLINK("mailto:archives@thekingcenter.org","archives@thekingcenter.org")</f>
        <v>archives@thekingcenter.org</v>
      </c>
      <c r="F846" s="6" t="str">
        <f>HYPERLINK("https://thekingcenter.org/")</f>
        <v>https://thekingcenter.org/</v>
      </c>
    </row>
    <row r="847" spans="1:5" ht="15">
      <c r="A847" s="2" t="s">
        <v>2790</v>
      </c>
      <c r="B847" s="1" t="s">
        <v>2791</v>
      </c>
      <c r="C847" s="1" t="s">
        <v>2792</v>
      </c>
      <c r="D847" s="1" t="s">
        <v>4979</v>
      </c>
      <c r="E847" s="5" t="str">
        <f>HYPERLINK("mailto:engage@beachinstitute.org","engage@beachinstitute.org")</f>
        <v>engage@beachinstitute.org</v>
      </c>
    </row>
    <row r="848" spans="1:6" ht="15">
      <c r="A848" s="2" t="s">
        <v>1159</v>
      </c>
      <c r="B848" s="1" t="s">
        <v>1160</v>
      </c>
      <c r="C848" s="1" t="s">
        <v>1161</v>
      </c>
      <c r="D848" s="1" t="s">
        <v>4623</v>
      </c>
      <c r="F848" s="6" t="str">
        <f>HYPERLINK("http://www.afpls.org/kirkwood-branch")</f>
        <v>http://www.afpls.org/kirkwood-branch</v>
      </c>
    </row>
    <row r="849" spans="1:6" ht="15">
      <c r="A849" s="2" t="s">
        <v>2793</v>
      </c>
      <c r="B849" s="1" t="s">
        <v>363</v>
      </c>
      <c r="C849" s="1" t="s">
        <v>2794</v>
      </c>
      <c r="D849" s="1" t="s">
        <v>5104</v>
      </c>
      <c r="F849" s="6" t="str">
        <f>HYPERLINK("https://gastateparks.org/KolomokiMounds")</f>
        <v>https://gastateparks.org/KolomokiMounds</v>
      </c>
    </row>
    <row r="850" spans="1:6" ht="15">
      <c r="A850" s="2" t="s">
        <v>2405</v>
      </c>
      <c r="B850" s="1" t="s">
        <v>2406</v>
      </c>
      <c r="C850" s="1" t="s">
        <v>2407</v>
      </c>
      <c r="E850" s="5" t="str">
        <f>HYPERLINK("mailto:albert.vitria@educacion.es","albert.vitria@educacion.es")</f>
        <v>albert.vitria@educacion.es</v>
      </c>
      <c r="F850" s="6" t="str">
        <f>HYPERLINK("https://radow.kennesaw.edu/flrc/")</f>
        <v>https://radow.kennesaw.edu/flrc/</v>
      </c>
    </row>
    <row r="851" spans="1:7" ht="15">
      <c r="A851" s="2" t="s">
        <v>814</v>
      </c>
      <c r="B851" s="1" t="s">
        <v>815</v>
      </c>
      <c r="C851" s="1" t="s">
        <v>816</v>
      </c>
      <c r="D851" s="1" t="s">
        <v>4510</v>
      </c>
      <c r="E851" s="5" t="str">
        <f>HYPERLINK("mailto:lca@strl.info","lca@strl.info")</f>
        <v>lca@strl.info</v>
      </c>
      <c r="F851" s="6" t="str">
        <f>HYPERLINK("https://strl.info/candler-county-library/")</f>
        <v>https://strl.info/candler-county-library/</v>
      </c>
      <c r="G851" s="5" t="str">
        <f>HYPERLINK("https://www.facebook.com/metterlibrary")</f>
        <v>https://www.facebook.com/metterlibrary</v>
      </c>
    </row>
    <row r="852" spans="1:6" ht="15">
      <c r="A852" s="2" t="s">
        <v>1546</v>
      </c>
      <c r="B852" s="1" t="s">
        <v>1547</v>
      </c>
      <c r="C852" s="1" t="s">
        <v>1548</v>
      </c>
      <c r="D852" s="1" t="s">
        <v>4746</v>
      </c>
      <c r="E852" s="5" t="str">
        <f>HYPERLINK("mailto:wrights@ohoopeelibrary.org","wrights@ohoopeelibrary.org")</f>
        <v>wrights@ohoopeelibrary.org</v>
      </c>
      <c r="F852" s="6" t="str">
        <f>HYPERLINK("https://ohoopeelibrary.org/locations/ladson-genealogical-library/")</f>
        <v>https://ohoopeelibrary.org/locations/ladson-genealogical-library/</v>
      </c>
    </row>
    <row r="853" spans="1:6" ht="15">
      <c r="A853" s="2" t="s">
        <v>1510</v>
      </c>
      <c r="B853" s="1" t="s">
        <v>1511</v>
      </c>
      <c r="C853" s="1" t="s">
        <v>1512</v>
      </c>
      <c r="D853" s="1" t="s">
        <v>4734</v>
      </c>
      <c r="F853" s="6" t="str">
        <f>HYPERLINK("https://www.chrl.org/lafayette-walker-county-public-library/")</f>
        <v>https://www.chrl.org/lafayette-walker-county-public-library/</v>
      </c>
    </row>
    <row r="854" spans="1:6" ht="15">
      <c r="A854" s="2" t="s">
        <v>2795</v>
      </c>
      <c r="B854" s="1" t="s">
        <v>2796</v>
      </c>
      <c r="C854" s="1" t="s">
        <v>2797</v>
      </c>
      <c r="D854" s="1" t="s">
        <v>5105</v>
      </c>
      <c r="E854" s="5" t="str">
        <f>HYPERLINK("mailto:info@lagrangeartmuseum.org","info@lagrangeartmuseum.org")</f>
        <v>info@lagrangeartmuseum.org</v>
      </c>
      <c r="F854" s="6" t="str">
        <f>HYPERLINK("http://www.lagrangeartmuseum.org")</f>
        <v>http://www.lagrangeartmuseum.org</v>
      </c>
    </row>
    <row r="855" spans="1:6" ht="15">
      <c r="A855" s="2" t="s">
        <v>1504</v>
      </c>
      <c r="B855" s="1" t="s">
        <v>1505</v>
      </c>
      <c r="C855" s="1" t="s">
        <v>1506</v>
      </c>
      <c r="D855" s="1" t="s">
        <v>4732</v>
      </c>
      <c r="F855" s="6" t="str">
        <f>HYPERLINK("https://www.thrl.org/lagrange-memorial-library/")</f>
        <v>https://www.thrl.org/lagrange-memorial-library/</v>
      </c>
    </row>
    <row r="856" spans="1:7" ht="15">
      <c r="A856" s="2" t="s">
        <v>1837</v>
      </c>
      <c r="B856" s="1" t="s">
        <v>427</v>
      </c>
      <c r="C856" s="1" t="s">
        <v>1838</v>
      </c>
      <c r="D856" s="1" t="s">
        <v>4400</v>
      </c>
      <c r="E856" s="5" t="str">
        <f>HYPERLINK("mailto:residenthostbellevue@hotmail.com","residenthostbellevue@hotmail.com")</f>
        <v>residenthostbellevue@hotmail.com</v>
      </c>
      <c r="F856" s="6" t="str">
        <f>HYPERLINK("https://bellevuelagrangega.org/")</f>
        <v>https://bellevuelagrangega.org/</v>
      </c>
      <c r="G856" s="5" t="str">
        <f>HYPERLINK("https://www.facebook.com/Bellevue-LaGrange-Womans-Club-Charitable-Trust-179219418800155")</f>
        <v>https://www.facebook.com/Bellevue-LaGrange-Womans-Club-Charitable-Trust-179219418800155</v>
      </c>
    </row>
    <row r="857" spans="1:6" ht="15">
      <c r="A857" s="2" t="s">
        <v>2138</v>
      </c>
      <c r="B857" s="1" t="s">
        <v>2139</v>
      </c>
      <c r="C857" s="1" t="s">
        <v>2140</v>
      </c>
      <c r="D857" s="1" t="s">
        <v>4910</v>
      </c>
      <c r="F857" s="6" t="str">
        <f>HYPERLINK("https://www.lbrls.org/")</f>
        <v>https://www.lbrls.org/</v>
      </c>
    </row>
    <row r="858" spans="1:6" ht="15">
      <c r="A858" s="2" t="s">
        <v>3129</v>
      </c>
      <c r="B858" s="1" t="s">
        <v>3130</v>
      </c>
      <c r="C858" s="1" t="s">
        <v>3131</v>
      </c>
      <c r="D858" s="1" t="s">
        <v>5199</v>
      </c>
      <c r="F858" s="6" t="str">
        <f>HYPERLINK("https://www.lakeparkga.com/")</f>
        <v>https://www.lakeparkga.com/</v>
      </c>
    </row>
    <row r="859" spans="1:6" ht="15">
      <c r="A859" s="2" t="s">
        <v>1612</v>
      </c>
      <c r="B859" s="1" t="s">
        <v>1613</v>
      </c>
      <c r="C859" s="1" t="s">
        <v>1614</v>
      </c>
      <c r="D859" s="1" t="s">
        <v>4757</v>
      </c>
      <c r="F859" s="6" t="str">
        <f>HYPERLINK("http://tllsga.org/about/locations/")</f>
        <v>http://tllsga.org/about/locations/</v>
      </c>
    </row>
    <row r="860" spans="1:6" ht="15">
      <c r="A860" s="2" t="s">
        <v>547</v>
      </c>
      <c r="B860" s="1" t="s">
        <v>548</v>
      </c>
      <c r="C860" s="1" t="s">
        <v>549</v>
      </c>
      <c r="D860" s="1" t="s">
        <v>4431</v>
      </c>
      <c r="F860" s="6" t="str">
        <f>HYPERLINK("https://library.georgiasouthern.edu/armstrong/")</f>
        <v>https://library.georgiasouthern.edu/armstrong/</v>
      </c>
    </row>
    <row r="861" spans="1:6" ht="15">
      <c r="A861" s="2" t="s">
        <v>3095</v>
      </c>
      <c r="B861" s="1" t="s">
        <v>3096</v>
      </c>
      <c r="C861" s="1" t="s">
        <v>3097</v>
      </c>
      <c r="D861" s="1" t="s">
        <v>5192</v>
      </c>
      <c r="F861" s="6" t="str">
        <f>HYPERLINK("https://library.piedmont.edu/")</f>
        <v>https://library.piedmont.edu/</v>
      </c>
    </row>
    <row r="862" spans="1:3" ht="15">
      <c r="A862" s="2" t="s">
        <v>3474</v>
      </c>
      <c r="B862" s="1" t="s">
        <v>3475</v>
      </c>
      <c r="C862" s="1" t="s">
        <v>3476</v>
      </c>
    </row>
    <row r="863" spans="1:6" ht="15">
      <c r="A863" s="2" t="s">
        <v>3355</v>
      </c>
      <c r="B863" s="1" t="s">
        <v>3356</v>
      </c>
      <c r="C863" s="1" t="s">
        <v>3357</v>
      </c>
      <c r="D863" s="1" t="s">
        <v>5261</v>
      </c>
      <c r="F863" s="6" t="str">
        <f>HYPERLINK("https://www.laniertech.edu/library/")</f>
        <v>https://www.laniertech.edu/library/</v>
      </c>
    </row>
    <row r="864" spans="1:6" ht="15">
      <c r="A864" s="2" t="s">
        <v>3358</v>
      </c>
      <c r="B864" s="1" t="s">
        <v>3359</v>
      </c>
      <c r="C864" s="1" t="s">
        <v>3360</v>
      </c>
      <c r="D864" s="1" t="s">
        <v>5262</v>
      </c>
      <c r="F864" s="6" t="str">
        <f>HYPERLINK("https://www.laniertech.edu/library/")</f>
        <v>https://www.laniertech.edu/library/</v>
      </c>
    </row>
    <row r="865" spans="1:6" ht="15">
      <c r="A865" s="2" t="s">
        <v>3352</v>
      </c>
      <c r="B865" s="1" t="s">
        <v>3353</v>
      </c>
      <c r="C865" s="1" t="s">
        <v>3354</v>
      </c>
      <c r="D865" s="1" t="s">
        <v>5260</v>
      </c>
      <c r="F865" s="6" t="str">
        <f>HYPERLINK("https://www.laniertech.edu/library/")</f>
        <v>https://www.laniertech.edu/library/</v>
      </c>
    </row>
    <row r="866" spans="1:6" ht="15">
      <c r="A866" s="2" t="s">
        <v>3349</v>
      </c>
      <c r="B866" s="1" t="s">
        <v>3350</v>
      </c>
      <c r="C866" s="1" t="s">
        <v>3351</v>
      </c>
      <c r="D866" s="1" t="s">
        <v>5259</v>
      </c>
      <c r="F866" s="6" t="str">
        <f>HYPERLINK("https://www.laniertech.edu/library/")</f>
        <v>https://www.laniertech.edu/library/</v>
      </c>
    </row>
    <row r="867" spans="1:6" ht="15">
      <c r="A867" s="2" t="s">
        <v>3361</v>
      </c>
      <c r="B867" s="1" t="s">
        <v>3362</v>
      </c>
      <c r="C867" s="1" t="s">
        <v>3363</v>
      </c>
      <c r="D867" s="1" t="s">
        <v>5263</v>
      </c>
      <c r="F867" s="6" t="str">
        <f>HYPERLINK("https://www.laniertech.edu/library/")</f>
        <v>https://www.laniertech.edu/library/</v>
      </c>
    </row>
    <row r="868" spans="1:6" ht="15">
      <c r="A868" s="2" t="s">
        <v>4295</v>
      </c>
      <c r="B868" s="1" t="s">
        <v>698</v>
      </c>
      <c r="C868" s="1" t="s">
        <v>699</v>
      </c>
      <c r="D868" s="1" t="s">
        <v>4474</v>
      </c>
      <c r="F868" s="6" t="str">
        <f>HYPERLINK("https://gastateparks.org/LaphamPattersonHouse")</f>
        <v>https://gastateparks.org/LaphamPattersonHouse</v>
      </c>
    </row>
    <row r="869" spans="1:6" ht="15">
      <c r="A869" s="2" t="s">
        <v>3110</v>
      </c>
      <c r="B869" s="1" t="s">
        <v>3111</v>
      </c>
      <c r="C869" s="1" t="s">
        <v>3112</v>
      </c>
      <c r="F869" s="6" t="str">
        <f>HYPERLINK("http://www.savannahga.gov/882/Laurel-Grove-South-Cemetery")</f>
        <v>http://www.savannahga.gov/882/Laurel-Grove-South-Cemetery</v>
      </c>
    </row>
    <row r="870" spans="1:7" ht="15">
      <c r="A870" s="2" t="s">
        <v>1839</v>
      </c>
      <c r="B870" s="1" t="s">
        <v>1840</v>
      </c>
      <c r="C870" s="1" t="s">
        <v>1841</v>
      </c>
      <c r="D870" s="1" t="s">
        <v>4825</v>
      </c>
      <c r="F870" s="6" t="str">
        <f>HYPERLINK("https://dublinlaurenscountygeorgia.blogspot.com/")</f>
        <v>https://dublinlaurenscountygeorgia.blogspot.com/</v>
      </c>
      <c r="G870" s="5" t="str">
        <f>HYPERLINK("https://www.facebook.com/Laurens-County-Historical-Society-623276941113046")</f>
        <v>https://www.facebook.com/Laurens-County-Historical-Society-623276941113046</v>
      </c>
    </row>
    <row r="871" spans="1:6" ht="15">
      <c r="A871" s="2" t="s">
        <v>1285</v>
      </c>
      <c r="B871" s="1" t="s">
        <v>1286</v>
      </c>
      <c r="C871" s="1" t="s">
        <v>1287</v>
      </c>
      <c r="D871" s="1" t="s">
        <v>4660</v>
      </c>
      <c r="F871" s="6" t="str">
        <f>HYPERLINK("http://www.ocrl.org/lc-home")</f>
        <v>http://www.ocrl.org/lc-home</v>
      </c>
    </row>
    <row r="872" spans="1:6" ht="15">
      <c r="A872" s="2" t="s">
        <v>365</v>
      </c>
      <c r="B872" s="1" t="s">
        <v>366</v>
      </c>
      <c r="C872" s="1" t="s">
        <v>367</v>
      </c>
      <c r="D872" s="1" t="s">
        <v>4383</v>
      </c>
      <c r="F872" s="6" t="str">
        <f>HYPERLINK("http://www.athenslibrary.org/lavonia")</f>
        <v>http://www.athenslibrary.org/lavonia</v>
      </c>
    </row>
    <row r="873" spans="1:6" ht="15">
      <c r="A873" s="2" t="s">
        <v>2112</v>
      </c>
      <c r="B873" s="1" t="s">
        <v>2113</v>
      </c>
      <c r="C873" s="1" t="s">
        <v>2114</v>
      </c>
      <c r="D873" s="1" t="s">
        <v>4645</v>
      </c>
      <c r="F873" s="6" t="str">
        <f>HYPERLINK("https://www.gwinnettpl.org/locations-and-hours/")</f>
        <v>https://www.gwinnettpl.org/locations-and-hours/</v>
      </c>
    </row>
    <row r="874" spans="1:6" ht="15">
      <c r="A874" s="2" t="s">
        <v>925</v>
      </c>
      <c r="B874" s="1" t="s">
        <v>926</v>
      </c>
      <c r="C874" s="1" t="s">
        <v>927</v>
      </c>
      <c r="D874" s="1" t="s">
        <v>4547</v>
      </c>
      <c r="F874" s="6" t="str">
        <f>HYPERLINK("http://www.athenslibrary.org/laypark")</f>
        <v>http://www.athenslibrary.org/laypark</v>
      </c>
    </row>
    <row r="875" spans="1:6" ht="30">
      <c r="A875" s="2" t="s">
        <v>1699</v>
      </c>
      <c r="B875" s="1" t="s">
        <v>1700</v>
      </c>
      <c r="C875" s="1" t="s">
        <v>1701</v>
      </c>
      <c r="D875" s="1" t="s">
        <v>4784</v>
      </c>
      <c r="F875" s="6" t="str">
        <f>HYPERLINK("http://www.leconte-woodmanston.org/")</f>
        <v>http://www.leconte-woodmanston.org/</v>
      </c>
    </row>
    <row r="876" spans="1:6" ht="15">
      <c r="A876" s="2" t="s">
        <v>1579</v>
      </c>
      <c r="B876" s="1" t="s">
        <v>1580</v>
      </c>
      <c r="C876" s="1" t="s">
        <v>1581</v>
      </c>
      <c r="D876" s="1" t="s">
        <v>4753</v>
      </c>
      <c r="F876" s="6" t="str">
        <f>HYPERLINK("https://www.leecountylibrary.org/about/hours-locations")</f>
        <v>https://www.leecountylibrary.org/about/hours-locations</v>
      </c>
    </row>
    <row r="877" spans="1:4" ht="15">
      <c r="A877" s="2" t="s">
        <v>2801</v>
      </c>
      <c r="B877" s="1" t="s">
        <v>2802</v>
      </c>
      <c r="C877" s="1" t="s">
        <v>2803</v>
      </c>
      <c r="D877" s="1" t="s">
        <v>5107</v>
      </c>
    </row>
    <row r="878" spans="1:6" ht="15">
      <c r="A878" s="2" t="s">
        <v>1713</v>
      </c>
      <c r="B878" s="1" t="s">
        <v>1714</v>
      </c>
      <c r="C878" s="1" t="s">
        <v>1715</v>
      </c>
      <c r="D878" s="1" t="s">
        <v>4786</v>
      </c>
      <c r="E878" s="5" t="str">
        <f>HYPERLINK("mailto:info@trouparchives.org","info@trouparchives.org")</f>
        <v>info@trouparchives.org</v>
      </c>
      <c r="F878" s="6" t="str">
        <f>HYPERLINK("http://legacymuseumonmain.org/")</f>
        <v>http://legacymuseumonmain.org/</v>
      </c>
    </row>
    <row r="879" spans="1:3" ht="30">
      <c r="A879" s="2" t="s">
        <v>2292</v>
      </c>
      <c r="B879" s="1" t="s">
        <v>2293</v>
      </c>
      <c r="C879" s="1" t="s">
        <v>2294</v>
      </c>
    </row>
    <row r="880" spans="1:6" ht="15">
      <c r="A880" s="2" t="s">
        <v>961</v>
      </c>
      <c r="B880" s="1" t="s">
        <v>962</v>
      </c>
      <c r="C880" s="1" t="s">
        <v>963</v>
      </c>
      <c r="D880" s="1" t="s">
        <v>4559</v>
      </c>
      <c r="F880" s="6" t="str">
        <f>HYPERLINK("http://www.cobbcat.org/venue/lewis-a-ray-library/")</f>
        <v>http://www.cobbcat.org/venue/lewis-a-ray-library/</v>
      </c>
    </row>
    <row r="881" spans="1:7" ht="15">
      <c r="A881" s="2" t="s">
        <v>2804</v>
      </c>
      <c r="F881" s="6" t="str">
        <f>HYPERLINK("https://libertyhistory.org/")</f>
        <v>https://libertyhistory.org/</v>
      </c>
      <c r="G881" s="5" t="str">
        <f>HYPERLINK("https://www.facebook.com/241282946590827")</f>
        <v>https://www.facebook.com/241282946590827</v>
      </c>
    </row>
    <row r="882" spans="1:3" ht="15">
      <c r="A882" s="2" t="s">
        <v>198</v>
      </c>
      <c r="C882" s="1" t="s">
        <v>199</v>
      </c>
    </row>
    <row r="883" spans="1:4" ht="15">
      <c r="A883" s="2" t="s">
        <v>1081</v>
      </c>
      <c r="B883" s="1" t="s">
        <v>1082</v>
      </c>
      <c r="C883" s="1" t="s">
        <v>1083</v>
      </c>
      <c r="D883" s="1" t="s">
        <v>4598</v>
      </c>
    </row>
    <row r="884" spans="1:6" ht="15">
      <c r="A884" s="2" t="s">
        <v>3163</v>
      </c>
      <c r="B884" s="1" t="s">
        <v>3164</v>
      </c>
      <c r="C884" s="1" t="s">
        <v>3165</v>
      </c>
      <c r="D884" s="1" t="s">
        <v>4447</v>
      </c>
      <c r="E884" s="5" t="str">
        <f>HYPERLINK("mailto:lsc@library.gatech.edu","lsc@library.gatech.edu")</f>
        <v>lsc@library.gatech.edu</v>
      </c>
      <c r="F884" s="6" t="str">
        <f>HYPERLINK("https://libraries.emory.edu/maps/library-service-center.html")</f>
        <v>https://libraries.emory.edu/maps/library-service-center.html</v>
      </c>
    </row>
    <row r="885" spans="1:6" ht="15">
      <c r="A885" s="2" t="s">
        <v>2115</v>
      </c>
      <c r="B885" s="1" t="s">
        <v>2116</v>
      </c>
      <c r="C885" s="1" t="s">
        <v>2117</v>
      </c>
      <c r="D885" s="1" t="s">
        <v>4645</v>
      </c>
      <c r="F885" s="6" t="str">
        <f>HYPERLINK("https://www.gwinnettpl.org/locations-and-hours/")</f>
        <v>https://www.gwinnettpl.org/locations-and-hours/</v>
      </c>
    </row>
    <row r="886" spans="1:7" ht="15">
      <c r="A886" s="2" t="s">
        <v>2811</v>
      </c>
      <c r="B886" s="1" t="s">
        <v>2812</v>
      </c>
      <c r="C886" s="1" t="s">
        <v>2813</v>
      </c>
      <c r="D886" s="1" t="s">
        <v>5110</v>
      </c>
      <c r="E886" s="5" t="str">
        <f>HYPERLINK("mailto:edwardsgw@nu-z.net","edwardsgw@nu-z.net")</f>
        <v>edwardsgw@nu-z.net</v>
      </c>
      <c r="F886" s="6" t="str">
        <f>HYPERLINK("http://www.lincolncountyhistoricalsocietyga.org/home.html")</f>
        <v>http://www.lincolncountyhistoricalsocietyga.org/home.html</v>
      </c>
      <c r="G886" s="5" t="str">
        <f>HYPERLINK("https://www.facebook.com/lincolncountyhistoricalsocietyga")</f>
        <v>https://www.facebook.com/lincolncountyhistoricalsocietyga</v>
      </c>
    </row>
    <row r="887" spans="1:7" ht="15">
      <c r="A887" s="2" t="s">
        <v>2322</v>
      </c>
      <c r="B887" s="1" t="s">
        <v>2323</v>
      </c>
      <c r="C887" s="1" t="s">
        <v>2324</v>
      </c>
      <c r="D887" s="1" t="s">
        <v>4963</v>
      </c>
      <c r="F887" s="6" t="str">
        <f>HYPERLINK("https://gchrl.org/branches/lincoln-county-library/")</f>
        <v>https://gchrl.org/branches/lincoln-county-library/</v>
      </c>
      <c r="G887" s="5" t="str">
        <f>HYPERLINK("https://www.facebook.com/lincolncountylibrary")</f>
        <v>https://www.facebook.com/lincolncountylibrary</v>
      </c>
    </row>
    <row r="888" spans="1:6" ht="15">
      <c r="A888" s="2" t="s">
        <v>1045</v>
      </c>
      <c r="B888" s="1" t="s">
        <v>1046</v>
      </c>
      <c r="C888" s="1" t="s">
        <v>1047</v>
      </c>
      <c r="D888" s="1" t="s">
        <v>4586</v>
      </c>
      <c r="F888" s="6" t="str">
        <f>HYPERLINK("https://dekalblibrary.org/branches/lith")</f>
        <v>https://dekalblibrary.org/branches/lith</v>
      </c>
    </row>
    <row r="889" spans="1:7" ht="15">
      <c r="A889" s="2" t="s">
        <v>4167</v>
      </c>
      <c r="B889" s="1" t="s">
        <v>4168</v>
      </c>
      <c r="C889" s="1" t="s">
        <v>4169</v>
      </c>
      <c r="D889" s="1" t="s">
        <v>5486</v>
      </c>
      <c r="E889" s="5" t="str">
        <f>HYPERLINK("mailto:info@littlefiveartsalive.com","info@littlefiveartsalive.com")</f>
        <v>info@littlefiveartsalive.com</v>
      </c>
      <c r="F889" s="6" t="str">
        <f>HYPERLINK("http://www.littlefiveartsalive.com/")</f>
        <v>http://www.littlefiveartsalive.com/</v>
      </c>
      <c r="G889" s="5" t="str">
        <f>HYPERLINK("https://www.facebook.com/littlefivepointsartsalive")</f>
        <v>https://www.facebook.com/littlefivepointsartsalive</v>
      </c>
    </row>
    <row r="890" spans="1:8" ht="15">
      <c r="A890" s="2" t="s">
        <v>281</v>
      </c>
      <c r="B890" s="1" t="s">
        <v>282</v>
      </c>
      <c r="C890" s="1" t="s">
        <v>283</v>
      </c>
      <c r="D890" s="1" t="s">
        <v>4359</v>
      </c>
      <c r="F890" s="6" t="str">
        <f>HYPERLINK("https://gastateparks.org/LittleWhiteHouse")</f>
        <v>https://gastateparks.org/LittleWhiteHouse</v>
      </c>
      <c r="G890" s="5" t="str">
        <f>HYPERLINK("https://www.facebook.com/OfficialLWH")</f>
        <v>https://www.facebook.com/OfficialLWH</v>
      </c>
      <c r="H890" s="5" t="str">
        <f>HYPERLINK("https://twitter.com/OfficialLWH")</f>
        <v>https://twitter.com/OfficialLWH</v>
      </c>
    </row>
    <row r="891" spans="1:6" ht="15">
      <c r="A891" s="2" t="s">
        <v>3540</v>
      </c>
      <c r="B891" s="1" t="s">
        <v>3541</v>
      </c>
      <c r="C891" s="1" t="s">
        <v>3542</v>
      </c>
      <c r="D891" s="1" t="s">
        <v>4842</v>
      </c>
      <c r="E891" s="5" t="str">
        <f>HYPERLINK("mailto:jshaffett@shorter.edu","jshaffett@shorter.edu")</f>
        <v>jshaffett@shorter.edu</v>
      </c>
      <c r="F891" s="6" t="str">
        <f>HYPERLINK("http://www.shorter.edu/libraries/")</f>
        <v>http://www.shorter.edu/libraries/</v>
      </c>
    </row>
    <row r="892" spans="1:3" ht="15">
      <c r="A892" s="2" t="s">
        <v>4290</v>
      </c>
      <c r="C892" s="1" t="s">
        <v>48</v>
      </c>
    </row>
    <row r="893" spans="1:6" ht="15">
      <c r="A893" s="2" t="s">
        <v>1573</v>
      </c>
      <c r="B893" s="1" t="s">
        <v>1574</v>
      </c>
      <c r="C893" s="1" t="s">
        <v>1575</v>
      </c>
      <c r="D893" s="1" t="s">
        <v>4323</v>
      </c>
      <c r="F893" s="6" t="str">
        <f>HYPERLINK("http://henrylibraries.org/locations-hours/")</f>
        <v>http://henrylibraries.org/locations-hours/</v>
      </c>
    </row>
    <row r="894" spans="1:6" ht="30">
      <c r="A894" s="2" t="s">
        <v>1219</v>
      </c>
      <c r="B894" s="1" t="s">
        <v>1220</v>
      </c>
      <c r="C894" s="1" t="s">
        <v>1221</v>
      </c>
      <c r="D894" s="1" t="s">
        <v>4643</v>
      </c>
      <c r="E894" s="5" t="str">
        <f>HYPERLINK("mailto:tgoober@trrl.org","tgoober@trrl.org")</f>
        <v>tgoober@trrl.org</v>
      </c>
      <c r="F894" s="6" t="str">
        <f>HYPERLINK("https://threeriverslibraries.org/wordpress-dev/library-locations/long-county-public-library/")</f>
        <v>https://threeriverslibraries.org/wordpress-dev/library-locations/long-county-public-library/</v>
      </c>
    </row>
    <row r="895" spans="1:6" ht="15">
      <c r="A895" s="2" t="s">
        <v>2814</v>
      </c>
      <c r="D895" s="1" t="s">
        <v>5111</v>
      </c>
      <c r="E895" s="5" t="str">
        <f>HYPERLINK("mailto:oldpete@longstreet.org","oldpete@longstreet.org")</f>
        <v>oldpete@longstreet.org</v>
      </c>
      <c r="F895" s="6" t="str">
        <f>HYPERLINK("http://www.longstreet.org")</f>
        <v>http://www.longstreet.org</v>
      </c>
    </row>
    <row r="896" spans="1:7" ht="15">
      <c r="A896" s="2" t="s">
        <v>4170</v>
      </c>
      <c r="B896" s="1" t="s">
        <v>4171</v>
      </c>
      <c r="C896" s="1" t="s">
        <v>4172</v>
      </c>
      <c r="D896" s="1" t="s">
        <v>5487</v>
      </c>
      <c r="F896" s="6" t="str">
        <f>HYPERLINK("https://www.loopitupsavannah.com/")</f>
        <v>https://www.loopitupsavannah.com/</v>
      </c>
      <c r="G896" s="5" t="str">
        <f>HYPERLINK("https://www.facebook.com/loopitupsavannahga")</f>
        <v>https://www.facebook.com/loopitupsavannahga</v>
      </c>
    </row>
    <row r="897" spans="1:7" ht="15">
      <c r="A897" s="2" t="s">
        <v>3741</v>
      </c>
      <c r="B897" s="1" t="s">
        <v>3742</v>
      </c>
      <c r="C897" s="1" t="s">
        <v>3743</v>
      </c>
      <c r="D897" s="1" t="s">
        <v>5362</v>
      </c>
      <c r="F897" s="6" t="str">
        <f>HYPERLINK("https://bigefest.com/")</f>
        <v>https://bigefest.com/</v>
      </c>
      <c r="G897" s="5" t="str">
        <f>HYPERLINK("https://www.facebook.com/Loudermilk-Boarding-House-Museum-151115054923474")</f>
        <v>https://www.facebook.com/Loudermilk-Boarding-House-Museum-151115054923474</v>
      </c>
    </row>
    <row r="898" spans="1:6" ht="30">
      <c r="A898" s="2" t="s">
        <v>2046</v>
      </c>
      <c r="B898" s="1" t="s">
        <v>2047</v>
      </c>
      <c r="C898" s="1" t="s">
        <v>2048</v>
      </c>
      <c r="D898" s="1" t="s">
        <v>4889</v>
      </c>
      <c r="F898" s="6" t="str">
        <f>HYPERLINK("http://www.afpls.org/locations/locations2/1876-louise-watley-library-at-southeast")</f>
        <v>http://www.afpls.org/locations/locations2/1876-louise-watley-library-at-southeast</v>
      </c>
    </row>
    <row r="899" spans="1:6" ht="15">
      <c r="A899" s="2" t="s">
        <v>1276</v>
      </c>
      <c r="B899" s="1" t="s">
        <v>1277</v>
      </c>
      <c r="C899" s="1" t="s">
        <v>1278</v>
      </c>
      <c r="D899" s="1" t="s">
        <v>4657</v>
      </c>
      <c r="F899" s="6" t="str">
        <f>HYPERLINK("https://jefferson.public.lib.ga.us/library-branches/")</f>
        <v>https://jefferson.public.lib.ga.us/library-branches/</v>
      </c>
    </row>
    <row r="900" spans="1:6" ht="15">
      <c r="A900" s="2" t="s">
        <v>946</v>
      </c>
      <c r="B900" s="1" t="s">
        <v>947</v>
      </c>
      <c r="C900" s="1" t="s">
        <v>948</v>
      </c>
      <c r="D900" s="1" t="s">
        <v>4554</v>
      </c>
      <c r="F900" s="6" t="str">
        <f>HYPERLINK("https://claytonpl.org/locations/lovejoy/")</f>
        <v>https://claytonpl.org/locations/lovejoy/</v>
      </c>
    </row>
    <row r="901" spans="1:6" ht="15">
      <c r="A901" s="2" t="s">
        <v>2815</v>
      </c>
      <c r="B901" s="1" t="s">
        <v>514</v>
      </c>
      <c r="C901" s="1" t="s">
        <v>2816</v>
      </c>
      <c r="D901" s="1" t="s">
        <v>4422</v>
      </c>
      <c r="F901" s="6" t="str">
        <f>HYPERLINK("http://www.loweraltamahahistoricalsociety.org")</f>
        <v>http://www.loweraltamahahistoricalsociety.org</v>
      </c>
    </row>
    <row r="902" spans="1:8" ht="15">
      <c r="A902" s="2" t="s">
        <v>178</v>
      </c>
      <c r="B902" s="1" t="s">
        <v>179</v>
      </c>
      <c r="C902" s="1" t="s">
        <v>180</v>
      </c>
      <c r="D902" s="1" t="s">
        <v>4337</v>
      </c>
      <c r="E902" s="5" t="str">
        <f>HYPERLINK("mailto:Research.LCHS@gmail.com","Research.LCHS@gmail.com")</f>
        <v>Research.LCHS@gmail.com</v>
      </c>
      <c r="F902" s="6" t="str">
        <f>HYPERLINK("http://valdostamuseum.com/")</f>
        <v>http://valdostamuseum.com/</v>
      </c>
      <c r="G902" s="5" t="str">
        <f>HYPERLINK("https://www.facebook.com/LowndesCountyHistoricalMuseum")</f>
        <v>https://www.facebook.com/LowndesCountyHistoricalMuseum</v>
      </c>
      <c r="H902" s="5" t="str">
        <f>HYPERLINK("https://twitter.com/lowndeshistory")</f>
        <v>https://twitter.com/lowndeshistory</v>
      </c>
    </row>
    <row r="903" spans="1:6" ht="30">
      <c r="A903" s="2" t="s">
        <v>2274</v>
      </c>
      <c r="B903" s="1" t="s">
        <v>2275</v>
      </c>
      <c r="C903" s="1" t="s">
        <v>2276</v>
      </c>
      <c r="D903" s="1" t="s">
        <v>4952</v>
      </c>
      <c r="E903" s="5" t="str">
        <f>HYPERLINK("mailto:info@lucycraftlaneymuseum.com","info@lucycraftlaneymuseum.com")</f>
        <v>info@lucycraftlaneymuseum.com</v>
      </c>
      <c r="F903" s="6" t="str">
        <f>HYPERLINK("http://www.lucycraftlaneymuseum.com")</f>
        <v>http://www.lucycraftlaneymuseum.com</v>
      </c>
    </row>
    <row r="904" spans="1:6" ht="15">
      <c r="A904" s="2" t="s">
        <v>1339</v>
      </c>
      <c r="B904" s="1" t="s">
        <v>1340</v>
      </c>
      <c r="C904" s="1" t="s">
        <v>1341</v>
      </c>
      <c r="D904" s="1" t="s">
        <v>4678</v>
      </c>
      <c r="F904" s="6" t="str">
        <f>HYPERLINK("http://www.desototrail.org/lucy-hilton-maddox-memorial-library.html")</f>
        <v>http://www.desototrail.org/lucy-hilton-maddox-memorial-library.html</v>
      </c>
    </row>
    <row r="905" spans="1:6" ht="15">
      <c r="A905" s="2" t="s">
        <v>3026</v>
      </c>
      <c r="B905" s="1" t="s">
        <v>3027</v>
      </c>
      <c r="C905" s="1" t="s">
        <v>3028</v>
      </c>
      <c r="D905" s="1" t="s">
        <v>5175</v>
      </c>
      <c r="E905" s="5" t="str">
        <f>HYPERLINK("mailto:vblake@wesleyancollege.edu","vblake@wesleyancollege.edu")</f>
        <v>vblake@wesleyancollege.edu</v>
      </c>
      <c r="F905" s="6" t="str">
        <f>HYPERLINK("https://www.wesleyancollege.edu/library/willetlibrary-Home.cfm")</f>
        <v>https://www.wesleyancollege.edu/library/willetlibrary-Home.cfm</v>
      </c>
    </row>
    <row r="906" spans="1:6" ht="15">
      <c r="A906" s="2" t="s">
        <v>2817</v>
      </c>
      <c r="D906" s="1" t="s">
        <v>5112</v>
      </c>
      <c r="E906" s="5" t="str">
        <f>HYPERLINK("mailto:Admin@LumpkinHistory.org","Admin@LumpkinHistory.org")</f>
        <v>Admin@LumpkinHistory.org</v>
      </c>
      <c r="F906" s="6" t="str">
        <f>HYPERLINK("http://www.lumpkinhistory.org/")</f>
        <v>http://www.lumpkinhistory.org/</v>
      </c>
    </row>
    <row r="907" spans="1:6" ht="15">
      <c r="A907" s="2" t="s">
        <v>1264</v>
      </c>
      <c r="B907" s="1" t="s">
        <v>1265</v>
      </c>
      <c r="C907" s="1" t="s">
        <v>1266</v>
      </c>
      <c r="D907" s="1" t="s">
        <v>4653</v>
      </c>
      <c r="E907" s="5" t="str">
        <f>HYPERLINK("mailto:lumpkin@chestateelibrary.org","lumpkin@chestateelibrary.org")</f>
        <v>lumpkin@chestateelibrary.org</v>
      </c>
      <c r="F907" s="6" t="str">
        <f>HYPERLINK("https://chestateelibrary.org/lumpkin-county-library/")</f>
        <v>https://chestateelibrary.org/lumpkin-county-library/</v>
      </c>
    </row>
    <row r="908" spans="1:6" ht="15">
      <c r="A908" s="2" t="s">
        <v>4010</v>
      </c>
      <c r="B908" s="1" t="s">
        <v>4011</v>
      </c>
      <c r="C908" s="1" t="s">
        <v>4012</v>
      </c>
      <c r="D908" s="1" t="s">
        <v>4310</v>
      </c>
      <c r="E908" s="5" t="str">
        <f>HYPERLINK("mailto:rivermarket@hotmail.com","rivermarket@hotmail.com")</f>
        <v>rivermarket@hotmail.com</v>
      </c>
      <c r="F908" s="6" t="str">
        <f>HYPERLINK("http://www.lunchboxmuseum.com/index2.html")</f>
        <v>http://www.lunchboxmuseum.com/index2.html</v>
      </c>
    </row>
    <row r="909" spans="1:6" ht="15">
      <c r="A909" s="2" t="s">
        <v>3225</v>
      </c>
      <c r="B909" s="1" t="s">
        <v>3226</v>
      </c>
      <c r="C909" s="1" t="s">
        <v>3227</v>
      </c>
      <c r="D909" s="1" t="s">
        <v>5226</v>
      </c>
      <c r="E909" s="5" t="str">
        <f>HYPERLINK("mailto:jswanson@msm.edu","jswanson@msm.edu")</f>
        <v>jswanson@msm.edu</v>
      </c>
      <c r="F909" s="6" t="str">
        <f>HYPERLINK("https://www.msm.edu/Library/index.php")</f>
        <v>https://www.msm.edu/Library/index.php</v>
      </c>
    </row>
    <row r="910" spans="1:6" ht="15">
      <c r="A910" s="2" t="s">
        <v>1093</v>
      </c>
      <c r="B910" s="1" t="s">
        <v>1094</v>
      </c>
      <c r="C910" s="1" t="s">
        <v>1095</v>
      </c>
      <c r="D910" s="1" t="s">
        <v>4602</v>
      </c>
      <c r="F910" s="6" t="str">
        <f>HYPERLINK("http://orls.org/wordpress/branches/m-e-roden-library/")</f>
        <v>http://orls.org/wordpress/branches/m-e-roden-library/</v>
      </c>
    </row>
    <row r="911" spans="1:6" ht="15">
      <c r="A911" s="2" t="s">
        <v>2818</v>
      </c>
      <c r="B911" s="1" t="s">
        <v>2819</v>
      </c>
      <c r="C911" s="1" t="s">
        <v>2820</v>
      </c>
      <c r="D911" s="1" t="s">
        <v>5113</v>
      </c>
      <c r="F911" s="6" t="str">
        <f>HYPERLINK("http://www.mablehouse.org/")</f>
        <v>http://www.mablehouse.org/</v>
      </c>
    </row>
    <row r="912" spans="1:6" ht="15">
      <c r="A912" s="2" t="s">
        <v>3865</v>
      </c>
      <c r="B912" s="1" t="s">
        <v>3866</v>
      </c>
      <c r="C912" s="1" t="s">
        <v>3867</v>
      </c>
      <c r="D912" s="1" t="s">
        <v>5392</v>
      </c>
      <c r="F912" s="6" t="str">
        <f>HYPERLINK("https://www.maconartsalliance.org/")</f>
        <v>https://www.maconartsalliance.org/</v>
      </c>
    </row>
    <row r="913" spans="1:6" ht="30">
      <c r="A913" s="2" t="s">
        <v>2821</v>
      </c>
      <c r="B913" s="1" t="s">
        <v>2822</v>
      </c>
      <c r="C913" s="1" t="s">
        <v>2823</v>
      </c>
      <c r="D913" s="1" t="s">
        <v>5114</v>
      </c>
      <c r="E913" s="5" t="str">
        <f>HYPERLINK("mailto:info@maconcountyga.org","info@maconcountyga.org")</f>
        <v>info@maconcountyga.org</v>
      </c>
      <c r="F913" s="6" t="str">
        <f>HYPERLINK("https://www.maconcountyga.gov/macon-county-historical-museum.cfm")</f>
        <v>https://www.maconcountyga.gov/macon-county-historical-museum.cfm</v>
      </c>
    </row>
    <row r="914" spans="1:6" ht="15">
      <c r="A914" s="2" t="s">
        <v>2827</v>
      </c>
      <c r="E914" s="5" t="str">
        <f>HYPERLINK("mailto:jwbarton@ix.netcom.com","jwbarton@ix.netcom.com")</f>
        <v>jwbarton@ix.netcom.com</v>
      </c>
      <c r="F914" s="6" t="str">
        <f>HYPERLINK("http://sites.rootsweb.com/~gamadiso/photos/vmc/vmc.htm")</f>
        <v>http://sites.rootsweb.com/~gamadiso/photos/vmc/vmc.htm</v>
      </c>
    </row>
    <row r="915" spans="1:6" ht="15">
      <c r="A915" s="2" t="s">
        <v>2022</v>
      </c>
      <c r="B915" s="1" t="s">
        <v>2023</v>
      </c>
      <c r="C915" s="1" t="s">
        <v>2024</v>
      </c>
      <c r="D915" s="1" t="s">
        <v>4881</v>
      </c>
      <c r="F915" s="6" t="str">
        <f>HYPERLINK("http://www.athenslibrary.org/madison")</f>
        <v>http://www.athenslibrary.org/madison</v>
      </c>
    </row>
    <row r="916" spans="1:6" ht="15">
      <c r="A916" s="2" t="s">
        <v>709</v>
      </c>
      <c r="B916" s="1" t="s">
        <v>710</v>
      </c>
      <c r="C916" s="1" t="s">
        <v>711</v>
      </c>
      <c r="D916" s="1" t="s">
        <v>4478</v>
      </c>
      <c r="E916" s="5" t="str">
        <f>HYPERLINK("mailto:director@mmofa.org","director@mmofa.org")</f>
        <v>director@mmofa.org</v>
      </c>
      <c r="F916" s="6" t="str">
        <f>HYPERLINK("http://mmofa.org/")</f>
        <v>http://mmofa.org/</v>
      </c>
    </row>
    <row r="917" spans="1:6" ht="30">
      <c r="A917" s="2" t="s">
        <v>2214</v>
      </c>
      <c r="B917" s="1" t="s">
        <v>2215</v>
      </c>
      <c r="C917" s="1" t="s">
        <v>2216</v>
      </c>
      <c r="D917" s="1" t="s">
        <v>4935</v>
      </c>
      <c r="E917" s="5" t="str">
        <f>HYPERLINK("mailto:librarym@pinemtnlibrary.org","librarym@pinemtnlibrary.org")</f>
        <v>librarym@pinemtnlibrary.org</v>
      </c>
      <c r="F917" s="6" t="str">
        <f>HYPERLINK("https://www.pinemtnlibrary.org/wordpress/index.php/hours-and-locations/meriwether-locations/106-2/")</f>
        <v>https://www.pinemtnlibrary.org/wordpress/index.php/hours-and-locations/meriwether-locations/106-2/</v>
      </c>
    </row>
    <row r="918" spans="1:3" ht="30">
      <c r="A918" s="2" t="s">
        <v>2295</v>
      </c>
      <c r="B918" s="1" t="s">
        <v>2296</v>
      </c>
      <c r="C918" s="1" t="s">
        <v>2297</v>
      </c>
    </row>
    <row r="919" spans="1:6" ht="15">
      <c r="A919" s="2" t="s">
        <v>3752</v>
      </c>
      <c r="B919" s="1" t="s">
        <v>3753</v>
      </c>
      <c r="C919" s="1" t="s">
        <v>3754</v>
      </c>
      <c r="D919" s="1" t="s">
        <v>5365</v>
      </c>
      <c r="F919" s="6" t="str">
        <f>HYPERLINK("http://www.nelsongeorgia.com/marble-museum")</f>
        <v>http://www.nelsongeorgia.com/marble-museum</v>
      </c>
    </row>
    <row r="920" spans="1:7" ht="15">
      <c r="A920" s="2" t="s">
        <v>3477</v>
      </c>
      <c r="B920" s="1" t="s">
        <v>3478</v>
      </c>
      <c r="C920" s="1" t="s">
        <v>3479</v>
      </c>
      <c r="D920" s="1" t="s">
        <v>5298</v>
      </c>
      <c r="F920" s="6" t="str">
        <f>HYPERLINK("http://marblevalleyfriends.tripod.com/index.htm")</f>
        <v>http://marblevalleyfriends.tripod.com/index.htm</v>
      </c>
      <c r="G920" s="5" t="str">
        <f>HYPERLINK("https://www.facebook.com/MarbleValleyFriends")</f>
        <v>https://www.facebook.com/MarbleValleyFriends</v>
      </c>
    </row>
    <row r="921" spans="1:6" ht="15">
      <c r="A921" s="2" t="s">
        <v>2828</v>
      </c>
      <c r="D921" s="1" t="s">
        <v>5116</v>
      </c>
      <c r="F921" s="6" t="str">
        <f>HYPERLINK("https://mvhs2.weebly.com/")</f>
        <v>https://mvhs2.weebly.com/</v>
      </c>
    </row>
    <row r="922" spans="1:6" ht="15">
      <c r="A922" s="2" t="s">
        <v>348</v>
      </c>
      <c r="B922" s="1" t="s">
        <v>349</v>
      </c>
      <c r="C922" s="1" t="s">
        <v>350</v>
      </c>
      <c r="D922" s="1" t="s">
        <v>4378</v>
      </c>
      <c r="E922" s="5" t="str">
        <f>HYPERLINK("mailto:leigh@worthlib.org","leigh@worthlib.org")</f>
        <v>leigh@worthlib.org</v>
      </c>
      <c r="F922" s="6" t="str">
        <f>HYPERLINK("https://worthlib.org/")</f>
        <v>https://worthlib.org/</v>
      </c>
    </row>
    <row r="923" spans="1:6" ht="15">
      <c r="A923" s="2" t="s">
        <v>1842</v>
      </c>
      <c r="B923" s="1" t="s">
        <v>1843</v>
      </c>
      <c r="C923" s="1" t="s">
        <v>1844</v>
      </c>
      <c r="D923" s="1" t="s">
        <v>4826</v>
      </c>
      <c r="F923" s="6" t="str">
        <f>HYPERLINK("https://www.mariettaga.gov/189/Fire-Museum")</f>
        <v>https://www.mariettaga.gov/189/Fire-Museum</v>
      </c>
    </row>
    <row r="924" spans="1:8" ht="15">
      <c r="A924" s="2" t="s">
        <v>1845</v>
      </c>
      <c r="B924" s="1" t="s">
        <v>1846</v>
      </c>
      <c r="C924" s="1" t="s">
        <v>1847</v>
      </c>
      <c r="D924" s="1" t="s">
        <v>4827</v>
      </c>
      <c r="E924" s="5" t="str">
        <f>HYPERLINK("mailto:info@mariettahistory.org","info@mariettahistory.org")</f>
        <v>info@mariettahistory.org</v>
      </c>
      <c r="F924" s="6" t="str">
        <f>HYPERLINK("http://www.mariettahistory.org")</f>
        <v>http://www.mariettahistory.org</v>
      </c>
      <c r="G924" s="5" t="str">
        <f>HYPERLINK("https://www.facebook.com/mariettamuseum")</f>
        <v>https://www.facebook.com/mariettamuseum</v>
      </c>
      <c r="H924" s="5" t="str">
        <f>HYPERLINK("https://twitter.com/MariettaMuseum")</f>
        <v>https://twitter.com/MariettaMuseum</v>
      </c>
    </row>
    <row r="925" spans="1:6" ht="15">
      <c r="A925" s="2" t="s">
        <v>703</v>
      </c>
      <c r="B925" s="1" t="s">
        <v>704</v>
      </c>
      <c r="C925" s="1" t="s">
        <v>705</v>
      </c>
      <c r="D925" s="1" t="s">
        <v>4476</v>
      </c>
      <c r="E925" s="5" t="str">
        <f>HYPERLINK("mailto:jennifer@mcma.us","jennifer@mcma.us")</f>
        <v>jennifer@mcma.us</v>
      </c>
      <c r="F925" s="6" t="str">
        <f>HYPERLINK("https://mariettacobbartmuseum.org/")</f>
        <v>https://mariettacobbartmuseum.org/</v>
      </c>
    </row>
    <row r="926" spans="1:6" ht="15">
      <c r="A926" s="2" t="s">
        <v>2316</v>
      </c>
      <c r="B926" s="1" t="s">
        <v>2317</v>
      </c>
      <c r="C926" s="1" t="s">
        <v>2318</v>
      </c>
      <c r="D926" s="1" t="s">
        <v>4961</v>
      </c>
      <c r="F926" s="6" t="str">
        <f>HYPERLINK("https://www.cvlga.org/marion-county-public-library/")</f>
        <v>https://www.cvlga.org/marion-county-public-library/</v>
      </c>
    </row>
    <row r="927" spans="1:7" ht="15">
      <c r="A927" s="2" t="s">
        <v>2277</v>
      </c>
      <c r="B927" s="1" t="s">
        <v>2278</v>
      </c>
      <c r="C927" s="1" t="s">
        <v>2279</v>
      </c>
      <c r="D927" s="1" t="s">
        <v>4953</v>
      </c>
      <c r="E927" s="5" t="str">
        <f>HYPERLINK("mailto:admin@marshhouseoflafayette.com","admin@marshhouseoflafayette.com")</f>
        <v>admin@marshhouseoflafayette.com</v>
      </c>
      <c r="F927" s="6" t="str">
        <f>HYPERLINK("http://www.marshhouseoflafayette.com")</f>
        <v>http://www.marshhouseoflafayette.com</v>
      </c>
      <c r="G927" s="5" t="str">
        <f>HYPERLINK("https://www.facebook.com/TheMarshHouseOfLaFayette")</f>
        <v>https://www.facebook.com/TheMarshHouseOfLaFayette</v>
      </c>
    </row>
    <row r="928" spans="1:6" ht="15">
      <c r="A928" s="2" t="s">
        <v>805</v>
      </c>
      <c r="B928" s="1" t="s">
        <v>806</v>
      </c>
      <c r="C928" s="1" t="s">
        <v>807</v>
      </c>
      <c r="D928" s="1" t="s">
        <v>4507</v>
      </c>
      <c r="F928" s="6" t="str">
        <f>HYPERLINK("http://bibblib.org/locations/marshallville-public-library/")</f>
        <v>http://bibblib.org/locations/marshallville-public-library/</v>
      </c>
    </row>
    <row r="929" spans="1:6" ht="15">
      <c r="A929" s="2" t="s">
        <v>3892</v>
      </c>
      <c r="B929" s="1" t="s">
        <v>3893</v>
      </c>
      <c r="C929" s="1" t="s">
        <v>3894</v>
      </c>
      <c r="F929" s="6" t="str">
        <f>HYPERLINK("https://www.martihistoricalsociety.org/")</f>
        <v>https://www.martihistoricalsociety.org/</v>
      </c>
    </row>
    <row r="930" spans="1:6" ht="15">
      <c r="A930" s="2" t="s">
        <v>2034</v>
      </c>
      <c r="B930" s="1" t="s">
        <v>2035</v>
      </c>
      <c r="C930" s="1" t="s">
        <v>2036</v>
      </c>
      <c r="D930" s="1" t="s">
        <v>4885</v>
      </c>
      <c r="F930" s="6" t="str">
        <f>HYPERLINK("http://www.afpls.org/mlk-branch")</f>
        <v>http://www.afpls.org/mlk-branch</v>
      </c>
    </row>
    <row r="931" spans="1:6" ht="15">
      <c r="A931" s="2" t="s">
        <v>447</v>
      </c>
      <c r="B931" s="1" t="s">
        <v>448</v>
      </c>
      <c r="C931" s="1" t="s">
        <v>449</v>
      </c>
      <c r="D931" s="1" t="s">
        <v>4407</v>
      </c>
      <c r="F931" s="6" t="str">
        <f>HYPERLINK("http://www.nps.gov/malu")</f>
        <v>http://www.nps.gov/malu</v>
      </c>
    </row>
    <row r="932" spans="1:6" ht="15">
      <c r="A932" s="2" t="s">
        <v>1609</v>
      </c>
      <c r="B932" s="1" t="s">
        <v>1610</v>
      </c>
      <c r="C932" s="1" t="s">
        <v>1611</v>
      </c>
      <c r="D932" s="1" t="s">
        <v>4756</v>
      </c>
      <c r="F932" s="6" t="str">
        <f>HYPERLINK("http://tllsga.org/about/locations/")</f>
        <v>http://tllsga.org/about/locations/</v>
      </c>
    </row>
    <row r="933" spans="1:6" ht="15">
      <c r="A933" s="2" t="s">
        <v>712</v>
      </c>
      <c r="B933" s="1" t="s">
        <v>713</v>
      </c>
      <c r="C933" s="1" t="s">
        <v>714</v>
      </c>
      <c r="D933" s="1" t="s">
        <v>4479</v>
      </c>
      <c r="E933" s="5" t="str">
        <f>HYPERLINK("mailto:willism@btrl.net","willism@btrl.net")</f>
        <v>willism@btrl.net</v>
      </c>
      <c r="F933" s="6" t="str">
        <f>HYPERLINK("https://www.btrl.net/public-library-georgia-branch-mary-willis.php")</f>
        <v>https://www.btrl.net/public-library-georgia-branch-mary-willis.php</v>
      </c>
    </row>
    <row r="934" spans="1:6" ht="15">
      <c r="A934" s="2" t="s">
        <v>715</v>
      </c>
      <c r="B934" s="1" t="s">
        <v>716</v>
      </c>
      <c r="C934" s="1" t="s">
        <v>717</v>
      </c>
      <c r="F934" s="6" t="str">
        <f>HYPERLINK("https://www.americancamellias.com/massee-lane-gardens")</f>
        <v>https://www.americancamellias.com/massee-lane-gardens</v>
      </c>
    </row>
    <row r="935" spans="1:6" ht="30">
      <c r="A935" s="2" t="s">
        <v>2830</v>
      </c>
      <c r="B935" s="1" t="s">
        <v>2831</v>
      </c>
      <c r="C935" s="1" t="s">
        <v>2832</v>
      </c>
      <c r="D935" s="1" t="s">
        <v>5117</v>
      </c>
      <c r="F935" s="6" t="str">
        <f>HYPERLINK("http://internet.savannah.chatham.k12.ga.us/schools/massie/default.aspx")</f>
        <v>http://internet.savannah.chatham.k12.ga.us/schools/massie/default.aspx</v>
      </c>
    </row>
    <row r="936" spans="1:6" ht="15">
      <c r="A936" s="2" t="s">
        <v>847</v>
      </c>
      <c r="B936" s="1" t="s">
        <v>848</v>
      </c>
      <c r="C936" s="1" t="s">
        <v>849</v>
      </c>
      <c r="D936" s="1" t="s">
        <v>4521</v>
      </c>
      <c r="E936" s="5" t="str">
        <f>HYPERLINK("mailto:kwinters@wgrls.org","kwinters@wgrls.org")</f>
        <v>kwinters@wgrls.org</v>
      </c>
      <c r="F936" s="6" t="str">
        <f>HYPERLINK("http://www.wgrls.org/visit/hiram/")</f>
        <v>http://www.wgrls.org/visit/hiram/</v>
      </c>
    </row>
    <row r="937" spans="1:6" ht="15">
      <c r="A937" s="2" t="s">
        <v>769</v>
      </c>
      <c r="B937" s="1" t="s">
        <v>770</v>
      </c>
      <c r="C937" s="1" t="s">
        <v>771</v>
      </c>
      <c r="D937" s="1" t="s">
        <v>4495</v>
      </c>
      <c r="E937" s="5" t="str">
        <f>HYPERLINK("mailto:mweathreby@prlib.org","mweathreby@prlib.org")</f>
        <v>mweathreby@prlib.org</v>
      </c>
      <c r="F937" s="6" t="str">
        <f>HYPERLINK("http://maysville.prlib.org/")</f>
        <v>http://maysville.prlib.org/</v>
      </c>
    </row>
    <row r="938" spans="1:6" ht="15">
      <c r="A938" s="2" t="s">
        <v>629</v>
      </c>
      <c r="B938" s="1" t="s">
        <v>630</v>
      </c>
      <c r="C938" s="1" t="s">
        <v>631</v>
      </c>
      <c r="D938" s="1" t="s">
        <v>4454</v>
      </c>
      <c r="E938" s="5" t="str">
        <f>HYPERLINK("mailto:archives@agnesscott.edu","archives@agnesscott.edu")</f>
        <v>archives@agnesscott.edu</v>
      </c>
      <c r="F938" s="6" t="str">
        <f>HYPERLINK("http://libguides.agnesscott.edu/speccoll")</f>
        <v>http://libguides.agnesscott.edu/speccoll</v>
      </c>
    </row>
    <row r="939" spans="1:3" ht="15">
      <c r="A939" s="2" t="s">
        <v>644</v>
      </c>
      <c r="C939" s="1" t="s">
        <v>645</v>
      </c>
    </row>
    <row r="940" spans="1:6" ht="15">
      <c r="A940" s="2" t="s">
        <v>1279</v>
      </c>
      <c r="B940" s="1" t="s">
        <v>1280</v>
      </c>
      <c r="C940" s="1" t="s">
        <v>1281</v>
      </c>
      <c r="D940" s="1" t="s">
        <v>4658</v>
      </c>
      <c r="F940" s="6" t="str">
        <f>HYPERLINK("https://jefferson.public.lib.ga.us/library-branches/")</f>
        <v>https://jefferson.public.lib.ga.us/library-branches/</v>
      </c>
    </row>
    <row r="941" spans="1:3" ht="15">
      <c r="A941" s="2" t="s">
        <v>391</v>
      </c>
      <c r="B941" s="1" t="s">
        <v>392</v>
      </c>
      <c r="C941" s="1" t="s">
        <v>393</v>
      </c>
    </row>
    <row r="942" spans="1:6" ht="15">
      <c r="A942" s="2" t="s">
        <v>718</v>
      </c>
      <c r="B942" s="1" t="s">
        <v>719</v>
      </c>
      <c r="C942" s="1" t="s">
        <v>720</v>
      </c>
      <c r="D942" s="1" t="s">
        <v>4480</v>
      </c>
      <c r="E942" s="5" t="str">
        <f>HYPERLINK("mailto:info@mcdaniel-tichenor.org","info@mcdaniel-tichenor.org")</f>
        <v>info@mcdaniel-tichenor.org</v>
      </c>
      <c r="F942" s="6" t="str">
        <f>HYPERLINK("https://www.mcdaniel-tichenor.org/")</f>
        <v>https://www.mcdaniel-tichenor.org/</v>
      </c>
    </row>
    <row r="943" spans="1:6" ht="15">
      <c r="A943" s="2" t="s">
        <v>1576</v>
      </c>
      <c r="B943" s="1" t="s">
        <v>1577</v>
      </c>
      <c r="C943" s="1" t="s">
        <v>1578</v>
      </c>
      <c r="D943" s="1" t="s">
        <v>4323</v>
      </c>
      <c r="F943" s="6" t="str">
        <f>HYPERLINK("http://henrylibraries.org/locations-hours/")</f>
        <v>http://henrylibraries.org/locations-hours/</v>
      </c>
    </row>
    <row r="944" spans="1:6" ht="15">
      <c r="A944" s="2" t="s">
        <v>2851</v>
      </c>
      <c r="B944" s="1" t="s">
        <v>2852</v>
      </c>
      <c r="C944" s="1" t="s">
        <v>2853</v>
      </c>
      <c r="D944" s="1" t="s">
        <v>5124</v>
      </c>
      <c r="E944" s="5" t="str">
        <f>HYPERLINK("mailto:info@mcduffiemuseum.com","info@mcduffiemuseum.com")</f>
        <v>info@mcduffiemuseum.com</v>
      </c>
      <c r="F944" s="6" t="str">
        <f>HYPERLINK("http://www.mcduffiemuseum.com/")</f>
        <v>http://www.mcduffiemuseum.com/</v>
      </c>
    </row>
    <row r="945" spans="1:6" ht="15">
      <c r="A945" s="2" t="s">
        <v>2360</v>
      </c>
      <c r="B945" s="1" t="s">
        <v>2361</v>
      </c>
      <c r="C945" s="1" t="s">
        <v>2362</v>
      </c>
      <c r="D945" s="1" t="s">
        <v>4972</v>
      </c>
      <c r="F945" s="6" t="str">
        <f>HYPERLINK("https://www.skio.uga.edu/resources/meeting-spaces/")</f>
        <v>https://www.skio.uga.edu/resources/meeting-spaces/</v>
      </c>
    </row>
    <row r="946" spans="1:6" ht="15">
      <c r="A946" s="2" t="s">
        <v>1312</v>
      </c>
      <c r="B946" s="1" t="s">
        <v>1313</v>
      </c>
      <c r="C946" s="1" t="s">
        <v>1314</v>
      </c>
      <c r="D946" s="1" t="s">
        <v>4669</v>
      </c>
      <c r="F946" s="6" t="str">
        <f>HYPERLINK("https://sgrl.org/locations/mcmullen-southside-library/")</f>
        <v>https://sgrl.org/locations/mcmullen-southside-library/</v>
      </c>
    </row>
    <row r="947" spans="1:6" ht="15">
      <c r="A947" s="2" t="s">
        <v>1702</v>
      </c>
      <c r="B947" s="1" t="s">
        <v>1703</v>
      </c>
      <c r="C947" s="1" t="s">
        <v>1704</v>
      </c>
      <c r="D947" s="1" t="s">
        <v>4785</v>
      </c>
      <c r="E947" s="5" t="str">
        <f>HYPERLINK("mailto:executivedirector@newnancowetahistoricalsociety.com","executivedirector@newnancowetahistoricalsociety.com")</f>
        <v>executivedirector@newnancowetahistoricalsociety.com</v>
      </c>
      <c r="F947" s="6" t="str">
        <f>HYPERLINK("http://newnancowetahistoricalsociety.com/visit/")</f>
        <v>http://newnancowetahistoricalsociety.com/visit/</v>
      </c>
    </row>
    <row r="948" spans="1:6" ht="15">
      <c r="A948" s="2" t="s">
        <v>721</v>
      </c>
      <c r="B948" s="1" t="s">
        <v>722</v>
      </c>
      <c r="C948" s="1" t="s">
        <v>723</v>
      </c>
      <c r="D948" s="1" t="s">
        <v>4481</v>
      </c>
      <c r="F948" s="6" t="str">
        <f>HYPERLINK("http://historicmeadowgarden.org/")</f>
        <v>http://historicmeadowgarden.org/</v>
      </c>
    </row>
    <row r="949" spans="1:6" ht="15">
      <c r="A949" s="2" t="s">
        <v>1189</v>
      </c>
      <c r="B949" s="1" t="s">
        <v>1190</v>
      </c>
      <c r="C949" s="1" t="s">
        <v>1191</v>
      </c>
      <c r="D949" s="1" t="s">
        <v>4633</v>
      </c>
      <c r="F949" s="6" t="str">
        <f>HYPERLINK("http://www.afpls.org/mechanicsville-branch")</f>
        <v>http://www.afpls.org/mechanicsville-branch</v>
      </c>
    </row>
    <row r="950" spans="1:6" ht="15">
      <c r="A950" s="2" t="s">
        <v>1471</v>
      </c>
      <c r="B950" s="1" t="s">
        <v>1472</v>
      </c>
      <c r="C950" s="1" t="s">
        <v>1473</v>
      </c>
      <c r="D950" s="1" t="s">
        <v>4721</v>
      </c>
      <c r="F950" s="6" t="str">
        <f>HYPERLINK("http://tcpls.org/locations-hours")</f>
        <v>http://tcpls.org/locations-hours</v>
      </c>
    </row>
    <row r="951" spans="1:6" ht="15">
      <c r="A951" s="2" t="s">
        <v>3228</v>
      </c>
      <c r="B951" s="1" t="s">
        <v>3229</v>
      </c>
      <c r="C951" s="1" t="s">
        <v>3230</v>
      </c>
      <c r="D951" s="1" t="s">
        <v>5227</v>
      </c>
      <c r="E951" s="5" t="str">
        <f>HYPERLINK("mailto:library@berry.edu","library@berry.edu")</f>
        <v>library@berry.edu</v>
      </c>
      <c r="F951" s="6" t="str">
        <f>HYPERLINK("https://www.berry.edu/academics/library/")</f>
        <v>https://www.berry.edu/academics/library/</v>
      </c>
    </row>
    <row r="952" spans="1:6" ht="15">
      <c r="A952" s="2" t="s">
        <v>351</v>
      </c>
      <c r="B952" s="1" t="s">
        <v>352</v>
      </c>
      <c r="C952" s="1" t="s">
        <v>353</v>
      </c>
      <c r="D952" s="1" t="s">
        <v>4379</v>
      </c>
      <c r="E952" s="5" t="str">
        <f>HYPERLINK("mailto:mercerhouseshop@mercerhouse.com","mercerhouseshop@mercerhouse.com")</f>
        <v>mercerhouseshop@mercerhouse.com</v>
      </c>
      <c r="F952" s="6" t="str">
        <f>HYPERLINK("https://mercerhouse.com/")</f>
        <v>https://mercerhouse.com/</v>
      </c>
    </row>
    <row r="953" spans="1:6" ht="30">
      <c r="A953" s="2" t="s">
        <v>3091</v>
      </c>
      <c r="B953" s="1" t="s">
        <v>3092</v>
      </c>
      <c r="C953" s="1" t="s">
        <v>3093</v>
      </c>
      <c r="D953" s="1" t="s">
        <v>5191</v>
      </c>
      <c r="E953" s="5" t="str">
        <f>HYPERLINK("mailto:hollis_j@mercer.edu","hollis_j@mercer.edu")</f>
        <v>hollis_j@mercer.edu</v>
      </c>
      <c r="F953" s="6" t="str">
        <f>HYPERLINK("https://med.mercer.edu/library/aboutthelibrary2-columbus.htm")</f>
        <v>https://med.mercer.edu/library/aboutthelibrary2-columbus.htm</v>
      </c>
    </row>
    <row r="954" spans="1:6" ht="15">
      <c r="A954" s="2" t="s">
        <v>2854</v>
      </c>
      <c r="B954" s="1" t="s">
        <v>352</v>
      </c>
      <c r="C954" s="1" t="s">
        <v>2855</v>
      </c>
      <c r="D954" s="1" t="s">
        <v>5125</v>
      </c>
      <c r="E954" s="5" t="str">
        <f>HYPERLINK("mailto:mercerhouseshop@mercerhouse.com","mercerhouseshop@mercerhouse.com")</f>
        <v>mercerhouseshop@mercerhouse.com</v>
      </c>
      <c r="F954" s="6" t="str">
        <f>HYPERLINK("http://www.mercerhouse.com")</f>
        <v>http://www.mercerhouse.com</v>
      </c>
    </row>
    <row r="955" spans="1:7" ht="15">
      <c r="A955" s="2" t="s">
        <v>2856</v>
      </c>
      <c r="F955" s="6" t="str">
        <f>HYPERLINK("http://meriwetherhistoricalsociety.blogspot.com/")</f>
        <v>http://meriwetherhistoricalsociety.blogspot.com/</v>
      </c>
      <c r="G955" s="5" t="str">
        <f>HYPERLINK("https://www.facebook.com/Meriwether-Historical-Society-971186362942389")</f>
        <v>https://www.facebook.com/Meriwether-Historical-Society-971186362942389</v>
      </c>
    </row>
    <row r="956" spans="1:6" ht="15">
      <c r="A956" s="2" t="s">
        <v>2037</v>
      </c>
      <c r="B956" s="1" t="s">
        <v>2038</v>
      </c>
      <c r="C956" s="1" t="s">
        <v>2039</v>
      </c>
      <c r="D956" s="1" t="s">
        <v>4886</v>
      </c>
      <c r="F956" s="6" t="str">
        <f>HYPERLINK("http://www.afpls.org/metropolitan-branch6")</f>
        <v>http://www.afpls.org/metropolitan-branch6</v>
      </c>
    </row>
    <row r="957" spans="1:6" ht="15">
      <c r="A957" s="2" t="s">
        <v>3480</v>
      </c>
      <c r="B957" s="1" t="s">
        <v>3481</v>
      </c>
      <c r="C957" s="1" t="s">
        <v>3482</v>
      </c>
      <c r="D957" s="1" t="s">
        <v>5299</v>
      </c>
      <c r="F957" s="6" t="str">
        <f>HYPERLINK("https://www.thempc.org/")</f>
        <v>https://www.thempc.org/</v>
      </c>
    </row>
    <row r="958" spans="1:6" ht="15">
      <c r="A958" s="2" t="s">
        <v>724</v>
      </c>
      <c r="B958" s="1" t="s">
        <v>725</v>
      </c>
      <c r="C958" s="1" t="s">
        <v>726</v>
      </c>
      <c r="D958" s="1" t="s">
        <v>4482</v>
      </c>
      <c r="E958" s="5" t="str">
        <f>HYPERLINK("mailto:jwarre2@emory.edu","jwarre2@emory.edu")</f>
        <v>jwarre2@emory.edu</v>
      </c>
      <c r="F958" s="6" t="str">
        <f>HYPERLINK("http://carlos.emory.edu")</f>
        <v>http://carlos.emory.edu</v>
      </c>
    </row>
    <row r="959" spans="1:6" ht="15">
      <c r="A959" s="2" t="s">
        <v>3246</v>
      </c>
      <c r="B959" s="1" t="s">
        <v>3247</v>
      </c>
      <c r="C959" s="1" t="s">
        <v>3248</v>
      </c>
      <c r="D959" s="1" t="s">
        <v>5233</v>
      </c>
      <c r="E959" s="5" t="str">
        <f>HYPERLINK("mailto:askthelibrarian@johnmarshall.edu","askthelibrarian@johnmarshall.edu")</f>
        <v>askthelibrarian@johnmarshall.edu</v>
      </c>
      <c r="F959" s="6" t="str">
        <f>HYPERLINK("http://johnmarshall.libguides.com/library")</f>
        <v>http://johnmarshall.libguides.com/library</v>
      </c>
    </row>
    <row r="960" spans="1:3" ht="15">
      <c r="A960" s="2" t="s">
        <v>15</v>
      </c>
      <c r="B960" s="1" t="s">
        <v>16</v>
      </c>
      <c r="C960" s="1" t="s">
        <v>17</v>
      </c>
    </row>
    <row r="961" spans="1:6" ht="30">
      <c r="A961" s="2" t="s">
        <v>2865</v>
      </c>
      <c r="B961" s="1" t="s">
        <v>16</v>
      </c>
      <c r="C961" s="1" t="s">
        <v>2866</v>
      </c>
      <c r="D961" s="1" t="s">
        <v>5129</v>
      </c>
      <c r="E961" s="5" t="str">
        <f>HYPERLINK("mailto:mgrlgh@bibblib.org","mgrlgh@bibblib.org")</f>
        <v>mgrlgh@bibblib.org</v>
      </c>
      <c r="F961" s="6" t="str">
        <f>HYPERLINK("http://bibblib.org/genealogy-archives/")</f>
        <v>http://bibblib.org/genealogy-archives/</v>
      </c>
    </row>
    <row r="962" spans="1:6" ht="15">
      <c r="A962" s="2" t="s">
        <v>3184</v>
      </c>
      <c r="B962" s="1" t="s">
        <v>2825</v>
      </c>
      <c r="C962" s="1" t="s">
        <v>2826</v>
      </c>
      <c r="D962" s="1" t="s">
        <v>5158</v>
      </c>
      <c r="F962" s="6" t="str">
        <f>HYPERLINK("https://www.mga.edu/library/archives/index.php")</f>
        <v>https://www.mga.edu/library/archives/index.php</v>
      </c>
    </row>
    <row r="963" spans="1:6" ht="30">
      <c r="A963" s="2" t="s">
        <v>3071</v>
      </c>
      <c r="B963" s="1" t="s">
        <v>2976</v>
      </c>
      <c r="C963" s="1" t="s">
        <v>3072</v>
      </c>
      <c r="D963" s="1" t="s">
        <v>5158</v>
      </c>
      <c r="F963" s="6" t="str">
        <f>HYPERLINK("https://www.mga.edu/library/")</f>
        <v>https://www.mga.edu/library/</v>
      </c>
    </row>
    <row r="964" spans="1:4" ht="30">
      <c r="A964" s="2" t="s">
        <v>3073</v>
      </c>
      <c r="B964" s="1" t="s">
        <v>3074</v>
      </c>
      <c r="C964" s="1" t="s">
        <v>3075</v>
      </c>
      <c r="D964" s="1" t="s">
        <v>5185</v>
      </c>
    </row>
    <row r="965" spans="1:4" ht="30">
      <c r="A965" s="2" t="s">
        <v>3076</v>
      </c>
      <c r="B965" s="1" t="s">
        <v>3077</v>
      </c>
      <c r="C965" s="1" t="s">
        <v>3078</v>
      </c>
      <c r="D965" s="1" t="s">
        <v>5186</v>
      </c>
    </row>
    <row r="966" spans="1:6" ht="30">
      <c r="A966" s="2" t="s">
        <v>2824</v>
      </c>
      <c r="B966" s="1" t="s">
        <v>2825</v>
      </c>
      <c r="C966" s="1" t="s">
        <v>2826</v>
      </c>
      <c r="D966" s="1" t="s">
        <v>5115</v>
      </c>
      <c r="E966" s="5" t="str">
        <f>HYPERLINK("mailto:library@mga.edu","library@mga.edu")</f>
        <v>library@mga.edu</v>
      </c>
      <c r="F966" s="6" t="str">
        <f>HYPERLINK("https://www.mga.edu/library/index.php")</f>
        <v>https://www.mga.edu/library/index.php</v>
      </c>
    </row>
    <row r="967" spans="1:4" ht="30">
      <c r="A967" s="2" t="s">
        <v>3079</v>
      </c>
      <c r="B967" s="1" t="s">
        <v>3080</v>
      </c>
      <c r="C967" s="1" t="s">
        <v>3081</v>
      </c>
      <c r="D967" s="1" t="s">
        <v>5187</v>
      </c>
    </row>
    <row r="968" spans="1:6" ht="15">
      <c r="A968" s="2" t="s">
        <v>1639</v>
      </c>
      <c r="B968" s="1" t="s">
        <v>1640</v>
      </c>
      <c r="C968" s="1" t="s">
        <v>1641</v>
      </c>
      <c r="D968" s="1" t="s">
        <v>4766</v>
      </c>
      <c r="F968" s="6" t="str">
        <f>HYPERLINK("https://gchrl.org/branches/midville-branch-library/")</f>
        <v>https://gchrl.org/branches/midville-branch-library/</v>
      </c>
    </row>
    <row r="969" spans="1:7" ht="15">
      <c r="A969" s="2" t="s">
        <v>2857</v>
      </c>
      <c r="B969" s="1" t="s">
        <v>2858</v>
      </c>
      <c r="C969" s="1" t="s">
        <v>2859</v>
      </c>
      <c r="D969" s="1" t="s">
        <v>5126</v>
      </c>
      <c r="E969" s="5" t="str">
        <f>HYPERLINK("mailto:midwaymuseum@yahoo.com","midwaymuseum@yahoo.com")</f>
        <v>midwaymuseum@yahoo.com</v>
      </c>
      <c r="F969" s="6" t="str">
        <f>HYPERLINK("http://www.themidwaymuseum.org")</f>
        <v>http://www.themidwaymuseum.org</v>
      </c>
      <c r="G969" s="5" t="str">
        <f>HYPERLINK("https://www.facebook.com/midwaymuseum")</f>
        <v>https://www.facebook.com/midwaymuseum</v>
      </c>
    </row>
    <row r="970" spans="1:6" ht="15">
      <c r="A970" s="2" t="s">
        <v>880</v>
      </c>
      <c r="B970" s="1" t="s">
        <v>881</v>
      </c>
      <c r="C970" s="1" t="s">
        <v>882</v>
      </c>
      <c r="D970" s="1" t="s">
        <v>4532</v>
      </c>
      <c r="E970" s="5" t="str">
        <f>HYPERLINK("mailto:bocciob@liveoakpl.org","bocciob@liveoakpl.org")</f>
        <v>bocciob@liveoakpl.org</v>
      </c>
      <c r="F970" s="6" t="str">
        <f>HYPERLINK("https://liveoakpl.org/locations/midway")</f>
        <v>https://liveoakpl.org/locations/midway</v>
      </c>
    </row>
    <row r="971" spans="1:7" ht="30">
      <c r="A971" s="2" t="s">
        <v>3759</v>
      </c>
      <c r="G971" s="5" t="str">
        <f>HYPERLINK("https://www.facebook.com/Mighty.8th.AF.HistoricalSociety.GeorgiaChapter")</f>
        <v>https://www.facebook.com/Mighty.8th.AF.HistoricalSociety.GeorgiaChapter</v>
      </c>
    </row>
    <row r="972" spans="1:8" ht="15">
      <c r="A972" s="2" t="s">
        <v>727</v>
      </c>
      <c r="B972" s="1" t="s">
        <v>728</v>
      </c>
      <c r="C972" s="1" t="s">
        <v>729</v>
      </c>
      <c r="D972" s="1" t="s">
        <v>4483</v>
      </c>
      <c r="E972" s="5" t="str">
        <f>HYPERLINK("mailto:registrar@mightyeighth.org","registrar@mightyeighth.org")</f>
        <v>registrar@mightyeighth.org</v>
      </c>
      <c r="F972" s="6" t="str">
        <f>HYPERLINK("https://www.mightyeighth.org/")</f>
        <v>https://www.mightyeighth.org/</v>
      </c>
      <c r="G972" s="5" t="str">
        <f>HYPERLINK("https://www.facebook.com/mighty8thmuseum")</f>
        <v>https://www.facebook.com/mighty8thmuseum</v>
      </c>
      <c r="H972" s="5" t="str">
        <f>HYPERLINK("https://twitter.com/Mighty8thMuseum")</f>
        <v>https://twitter.com/Mighty8thMuseum</v>
      </c>
    </row>
    <row r="973" spans="1:6" ht="30">
      <c r="A973" s="2" t="s">
        <v>2697</v>
      </c>
      <c r="B973" s="1" t="s">
        <v>337</v>
      </c>
      <c r="C973" s="1" t="s">
        <v>2698</v>
      </c>
      <c r="D973" s="1" t="s">
        <v>4374</v>
      </c>
      <c r="E973" s="5" t="str">
        <f>HYPERLINK("mailto:Info@catoosacountylibrary.org","Info@catoosacountylibrary.org")</f>
        <v>Info@catoosacountylibrary.org</v>
      </c>
      <c r="F973" s="6" t="str">
        <f>HYPERLINK("https://www.catoosacountylibrary.org/genealogy")</f>
        <v>https://www.catoosacountylibrary.org/genealogy</v>
      </c>
    </row>
    <row r="974" spans="1:6" ht="15">
      <c r="A974" s="2" t="s">
        <v>1372</v>
      </c>
      <c r="B974" s="1" t="s">
        <v>1373</v>
      </c>
      <c r="C974" s="1" t="s">
        <v>1374</v>
      </c>
      <c r="D974" s="1" t="s">
        <v>4689</v>
      </c>
      <c r="F974" s="6" t="str">
        <f>HYPERLINK("https://www.cvlga.org/mildred-l-terry-public-library/")</f>
        <v>https://www.cvlga.org/mildred-l-terry-public-library/</v>
      </c>
    </row>
    <row r="975" spans="1:8" ht="15">
      <c r="A975" s="2" t="s">
        <v>100</v>
      </c>
      <c r="B975" s="1" t="s">
        <v>101</v>
      </c>
      <c r="C975" s="1" t="s">
        <v>102</v>
      </c>
      <c r="D975" s="1" t="s">
        <v>4318</v>
      </c>
      <c r="E975" s="5" t="str">
        <f>HYPERLINK("mailto:info@thegatemuseum.org","info@thegatemuseum.org")</f>
        <v>info@thegatemuseum.org</v>
      </c>
      <c r="F975" s="6" t="str">
        <f>HYPERLINK("http://thegatemuseum.org/")</f>
        <v>http://thegatemuseum.org/</v>
      </c>
      <c r="G975" s="5" t="str">
        <f>HYPERLINK("https://www.facebook.com/millenniumgate")</f>
        <v>https://www.facebook.com/millenniumgate</v>
      </c>
      <c r="H975" s="5" t="str">
        <f>HYPERLINK("https://twitter.com/MillenniumGate")</f>
        <v>https://twitter.com/MillenniumGate</v>
      </c>
    </row>
    <row r="976" spans="1:6" ht="15">
      <c r="A976" s="2" t="s">
        <v>1300</v>
      </c>
      <c r="B976" s="1" t="s">
        <v>1301</v>
      </c>
      <c r="C976" s="1" t="s">
        <v>1302</v>
      </c>
      <c r="D976" s="1" t="s">
        <v>4665</v>
      </c>
      <c r="F976" s="6" t="str">
        <f>HYPERLINK("https://sgrl.org/locations/miller-lakeland-library/")</f>
        <v>https://sgrl.org/locations/miller-lakeland-library/</v>
      </c>
    </row>
    <row r="977" spans="1:7" ht="15">
      <c r="A977" s="2" t="s">
        <v>3520</v>
      </c>
      <c r="B977" s="1" t="s">
        <v>3521</v>
      </c>
      <c r="C977" s="1" t="s">
        <v>3522</v>
      </c>
      <c r="D977" s="1" t="s">
        <v>5307</v>
      </c>
      <c r="E977" s="5" t="str">
        <f>HYPERLINK("mailto:milnerlibrary@frrls.net","milnerlibrary@frrls.net")</f>
        <v>milnerlibrary@frrls.net</v>
      </c>
      <c r="F977" s="6" t="str">
        <f>HYPERLINK("https://frrls.net/milnercommunitylibrary")</f>
        <v>https://frrls.net/milnercommunitylibrary</v>
      </c>
      <c r="G977" s="5" t="str">
        <f>HYPERLINK("https://www.facebook.com/milnercommunitylibrary")</f>
        <v>https://www.facebook.com/milnercommunitylibrary</v>
      </c>
    </row>
    <row r="978" spans="1:6" ht="15">
      <c r="A978" s="2" t="s">
        <v>2040</v>
      </c>
      <c r="B978" s="1" t="s">
        <v>2041</v>
      </c>
      <c r="C978" s="1" t="s">
        <v>2042</v>
      </c>
      <c r="D978" s="1" t="s">
        <v>4887</v>
      </c>
      <c r="F978" s="6" t="str">
        <f>HYPERLINK("http://www.afpls.org/locations/locations2/1610-milton-branch")</f>
        <v>http://www.afpls.org/locations/locations2/1610-milton-branch</v>
      </c>
    </row>
    <row r="979" spans="1:6" ht="15">
      <c r="A979" s="2" t="s">
        <v>2019</v>
      </c>
      <c r="B979" s="1" t="s">
        <v>2020</v>
      </c>
      <c r="C979" s="1" t="s">
        <v>2021</v>
      </c>
      <c r="D979" s="1" t="s">
        <v>4880</v>
      </c>
      <c r="F979" s="6" t="str">
        <f>HYPERLINK("https://benning.armymwr.com/programs/mwr-library")</f>
        <v>https://benning.armymwr.com/programs/mwr-library</v>
      </c>
    </row>
    <row r="980" spans="1:6" ht="15">
      <c r="A980" s="2" t="s">
        <v>2833</v>
      </c>
      <c r="B980" s="1" t="s">
        <v>548</v>
      </c>
      <c r="C980" s="1" t="s">
        <v>2834</v>
      </c>
      <c r="D980" s="1" t="s">
        <v>5118</v>
      </c>
      <c r="E980" s="5" t="str">
        <f>HYPERLINK("mailto:chopkinson@georgiasouthern.edu","chopkinson@georgiasouthern.edu")</f>
        <v>chopkinson@georgiasouthern.edu</v>
      </c>
      <c r="F980" s="6" t="str">
        <f>HYPERLINK("https://georgiasouthern.libguides.com/c.php?g=833299")</f>
        <v>https://georgiasouthern.libguides.com/c.php?g=833299</v>
      </c>
    </row>
    <row r="981" spans="1:8" ht="15">
      <c r="A981" s="2" t="s">
        <v>4177</v>
      </c>
      <c r="B981" s="1" t="s">
        <v>4178</v>
      </c>
      <c r="C981" s="1" t="s">
        <v>4179</v>
      </c>
      <c r="D981" s="1" t="s">
        <v>5490</v>
      </c>
      <c r="E981" s="5" t="str">
        <f>HYPERLINK("mailto:info@miracleschool.org","info@miracleschool.org")</f>
        <v>info@miracleschool.org</v>
      </c>
      <c r="F981" s="6" t="str">
        <f>HYPERLINK("https://miracleschool.org/")</f>
        <v>https://miracleschool.org/</v>
      </c>
      <c r="G981" s="5" t="str">
        <f>HYPERLINK("https://www.facebook.com/miraclefoundationofartsandacademics")</f>
        <v>https://www.facebook.com/miraclefoundationofartsandacademics</v>
      </c>
      <c r="H981" s="5" t="str">
        <f>HYPERLINK("https://twitter.com/miracleschool")</f>
        <v>https://twitter.com/miracleschool</v>
      </c>
    </row>
    <row r="982" spans="1:3" ht="15">
      <c r="A982" s="2" t="s">
        <v>216</v>
      </c>
      <c r="C982" s="1" t="s">
        <v>217</v>
      </c>
    </row>
    <row r="983" spans="1:6" ht="15">
      <c r="A983" s="2" t="s">
        <v>4001</v>
      </c>
      <c r="B983" s="1" t="s">
        <v>4002</v>
      </c>
      <c r="C983" s="1" t="s">
        <v>4003</v>
      </c>
      <c r="D983" s="1" t="s">
        <v>5423</v>
      </c>
      <c r="E983" s="5" t="str">
        <f>HYPERLINK("mailto:mitchellyoungandersonmuseum@yahoo.com","mitchellyoungandersonmuseum@yahoo.com")</f>
        <v>mitchellyoungandersonmuseum@yahoo.com</v>
      </c>
      <c r="F983" s="6" t="str">
        <f>HYPERLINK("https://www.mitchellyoungandersonmuseum.com/")</f>
        <v>https://www.mitchellyoungandersonmuseum.com/</v>
      </c>
    </row>
    <row r="984" spans="1:7" ht="15">
      <c r="A984" s="2" t="s">
        <v>1848</v>
      </c>
      <c r="B984" s="1" t="s">
        <v>1849</v>
      </c>
      <c r="C984" s="1" t="s">
        <v>1850</v>
      </c>
      <c r="D984" s="1" t="s">
        <v>4828</v>
      </c>
      <c r="E984" s="5" t="str">
        <f>HYPERLINK("mailto:oldtrain.mchs@gmail.com","oldtrain.mchs@gmail.com")</f>
        <v>oldtrain.mchs@gmail.com</v>
      </c>
      <c r="F984" s="6" t="str">
        <f>HYPERLINK("https://www.mchsga.org/")</f>
        <v>https://www.mchsga.org/</v>
      </c>
      <c r="G984" s="5" t="str">
        <f>HYPERLINK("https://www.facebook.com/Monroe-County-Historical-Society-Forsyth-GA-157291580960926")</f>
        <v>https://www.facebook.com/Monroe-County-Historical-Society-Forsyth-GA-157291580960926</v>
      </c>
    </row>
    <row r="985" spans="1:6" ht="15">
      <c r="A985" s="2" t="s">
        <v>2097</v>
      </c>
      <c r="B985" s="1" t="s">
        <v>2098</v>
      </c>
      <c r="C985" s="1" t="s">
        <v>2099</v>
      </c>
      <c r="D985" s="1" t="s">
        <v>4905</v>
      </c>
      <c r="F985" s="6" t="str">
        <f>HYPERLINK("http://www.monroecountygeorgia.com/library/")</f>
        <v>http://www.monroecountygeorgia.com/library/</v>
      </c>
    </row>
    <row r="986" spans="1:6" ht="15">
      <c r="A986" s="2" t="s">
        <v>160</v>
      </c>
      <c r="B986" s="1" t="s">
        <v>161</v>
      </c>
      <c r="C986" s="1" t="s">
        <v>162</v>
      </c>
      <c r="D986" s="1" t="s">
        <v>4331</v>
      </c>
      <c r="F986" s="6" t="str">
        <f>HYPERLINK("https://libraries.mercer.edu/about-us/about-swilley")</f>
        <v>https://libraries.mercer.edu/about-us/about-swilley</v>
      </c>
    </row>
    <row r="987" spans="1:7" ht="15">
      <c r="A987" s="2" t="s">
        <v>3744</v>
      </c>
      <c r="B987" s="1" t="s">
        <v>3745</v>
      </c>
      <c r="C987" s="1" t="s">
        <v>3746</v>
      </c>
      <c r="D987" s="1" t="s">
        <v>5363</v>
      </c>
      <c r="F987" s="6" t="str">
        <f>HYPERLINK("https://monroegamuseum.org/")</f>
        <v>https://monroegamuseum.org/</v>
      </c>
      <c r="G987" s="5" t="str">
        <f>HYPERLINK("https://www.facebook.com/MonroeMuseum")</f>
        <v>https://www.facebook.com/MonroeMuseum</v>
      </c>
    </row>
    <row r="988" spans="1:6" ht="15">
      <c r="A988" s="2" t="s">
        <v>1363</v>
      </c>
      <c r="B988" s="1" t="s">
        <v>1364</v>
      </c>
      <c r="C988" s="1" t="s">
        <v>1365</v>
      </c>
      <c r="D988" s="1" t="s">
        <v>4686</v>
      </c>
      <c r="E988" s="5" t="str">
        <f>HYPERLINK("mailto:blake@uncleremus.org","blake@uncleremus.org")</f>
        <v>blake@uncleremus.org</v>
      </c>
      <c r="F988" s="6" t="str">
        <f>HYPERLINK("http://azalealibraries.org/walton.htm")</f>
        <v>http://azalealibraries.org/walton.htm</v>
      </c>
    </row>
    <row r="989" spans="1:6" ht="15">
      <c r="A989" s="2" t="s">
        <v>2177</v>
      </c>
      <c r="B989" s="1" t="s">
        <v>2178</v>
      </c>
      <c r="C989" s="1" t="s">
        <v>2179</v>
      </c>
      <c r="D989" s="1" t="s">
        <v>4923</v>
      </c>
      <c r="F989" s="6" t="str">
        <f>HYPERLINK("http://bibblib.org/locations/montezuma-public-library/")</f>
        <v>http://bibblib.org/locations/montezuma-public-library/</v>
      </c>
    </row>
    <row r="990" spans="1:7" ht="30">
      <c r="A990" s="2" t="s">
        <v>2199</v>
      </c>
      <c r="B990" s="1" t="s">
        <v>2200</v>
      </c>
      <c r="C990" s="1" t="s">
        <v>2201</v>
      </c>
      <c r="D990" s="1" t="s">
        <v>4930</v>
      </c>
      <c r="E990" s="5" t="str">
        <f>HYPERLINK("mailto:mtvernonlib@ohoopeelibrary.org","mtvernonlib@ohoopeelibrary.org")</f>
        <v>mtvernonlib@ohoopeelibrary.org</v>
      </c>
      <c r="F990" s="6" t="str">
        <f>HYPERLINK("https://ohoopeelibrary.org/locations/montgomery-county-public-library/")</f>
        <v>https://ohoopeelibrary.org/locations/montgomery-county-public-library/</v>
      </c>
      <c r="G990" s="5" t="str">
        <f>HYPERLINK("https://www.facebook.com/montgomerycountypubliclibrary")</f>
        <v>https://www.facebook.com/montgomerycountypubliclibrary</v>
      </c>
    </row>
    <row r="991" spans="1:6" ht="15">
      <c r="A991" s="2" t="s">
        <v>2835</v>
      </c>
      <c r="B991" s="1" t="s">
        <v>2836</v>
      </c>
      <c r="C991" s="1" t="s">
        <v>2837</v>
      </c>
      <c r="D991" s="1" t="s">
        <v>5119</v>
      </c>
      <c r="E991" s="5" t="str">
        <f>HYPERLINK("mailto:director@mooremuseum.org","director@mooremuseum.org")</f>
        <v>director@mooremuseum.org</v>
      </c>
      <c r="F991" s="6" t="str">
        <f>HYPERLINK("http://www.mooremethodistmuseum.org")</f>
        <v>http://www.mooremethodistmuseum.org</v>
      </c>
    </row>
    <row r="992" spans="1:6" ht="15">
      <c r="A992" s="2" t="s">
        <v>1785</v>
      </c>
      <c r="B992" s="1" t="s">
        <v>1786</v>
      </c>
      <c r="C992" s="1" t="s">
        <v>1787</v>
      </c>
      <c r="D992" s="1" t="s">
        <v>4807</v>
      </c>
      <c r="E992" s="5" t="str">
        <f>HYPERLINK("mailto:info@morelandadventure.com","info@morelandadventure.com")</f>
        <v>info@morelandadventure.com</v>
      </c>
      <c r="F992" s="6" t="str">
        <f>HYPERLINK("http://www.morelandadventure.com/")</f>
        <v>http://www.morelandadventure.com/</v>
      </c>
    </row>
    <row r="993" spans="1:6" ht="15">
      <c r="A993" s="2" t="s">
        <v>2838</v>
      </c>
      <c r="B993" s="1" t="s">
        <v>2839</v>
      </c>
      <c r="C993" s="1" t="s">
        <v>2840</v>
      </c>
      <c r="D993" s="1" t="s">
        <v>5120</v>
      </c>
      <c r="F993" s="6" t="str">
        <f>HYPERLINK("http://www.mcaam.org/")</f>
        <v>http://www.mcaam.org/</v>
      </c>
    </row>
    <row r="994" spans="1:6" ht="15">
      <c r="A994" s="2" t="s">
        <v>3747</v>
      </c>
      <c r="B994" s="1" t="s">
        <v>2842</v>
      </c>
      <c r="C994" s="1" t="s">
        <v>3748</v>
      </c>
      <c r="D994" s="1" t="s">
        <v>5121</v>
      </c>
      <c r="F994" s="6" t="str">
        <f>HYPERLINK("http://friendsofheritagehall.org/about-us.php")</f>
        <v>http://friendsofheritagehall.org/about-us.php</v>
      </c>
    </row>
    <row r="995" spans="1:7" ht="15">
      <c r="A995" s="2" t="s">
        <v>2844</v>
      </c>
      <c r="E995" s="5" t="str">
        <f>HYPERLINK("mailto:mclandmarks@gmail.com","mclandmarks@gmail.com")</f>
        <v>mclandmarks@gmail.com</v>
      </c>
      <c r="G995" s="5" t="str">
        <f>HYPERLINK("https://www.facebook.com/mclandmarks")</f>
        <v>https://www.facebook.com/mclandmarks</v>
      </c>
    </row>
    <row r="996" spans="1:6" ht="15">
      <c r="A996" s="2" t="s">
        <v>2250</v>
      </c>
      <c r="B996" s="1" t="s">
        <v>2251</v>
      </c>
      <c r="C996" s="1" t="s">
        <v>2252</v>
      </c>
      <c r="D996" s="1" t="s">
        <v>4947</v>
      </c>
      <c r="E996" s="5" t="str">
        <f>HYPERLINK("mailto:colby@uncleremus.org","colby@uncleremus.org")</f>
        <v>colby@uncleremus.org</v>
      </c>
      <c r="F996" s="6" t="str">
        <f>HYPERLINK("http://azalealibraries.org/morgan.htm")</f>
        <v>http://azalealibraries.org/morgan.htm</v>
      </c>
    </row>
    <row r="997" spans="1:6" ht="15">
      <c r="A997" s="2" t="s">
        <v>2845</v>
      </c>
      <c r="C997" s="1" t="s">
        <v>2846</v>
      </c>
      <c r="D997" s="1" t="s">
        <v>5122</v>
      </c>
      <c r="E997" s="5" t="str">
        <f>HYPERLINK("mailto:archives@morgancountyga.gov","archives@morgancountyga.gov")</f>
        <v>archives@morgancountyga.gov</v>
      </c>
      <c r="F997" s="6" t="str">
        <f>HYPERLINK("https://www.morganga.org/361/Archives")</f>
        <v>https://www.morganga.org/361/Archives</v>
      </c>
    </row>
    <row r="998" spans="1:6" ht="15">
      <c r="A998" s="2" t="s">
        <v>730</v>
      </c>
      <c r="B998" s="1" t="s">
        <v>731</v>
      </c>
      <c r="C998" s="1" t="s">
        <v>732</v>
      </c>
      <c r="D998" s="1" t="s">
        <v>4484</v>
      </c>
      <c r="E998" s="5" t="str">
        <f>HYPERLINK("mailto:kgrogan@themorris.org","kgrogan@themorris.org")</f>
        <v>kgrogan@themorris.org</v>
      </c>
      <c r="F998" s="6" t="str">
        <f>HYPERLINK("https://www.themorris.org/")</f>
        <v>https://www.themorris.org/</v>
      </c>
    </row>
    <row r="999" spans="1:6" ht="15">
      <c r="A999" s="2" t="s">
        <v>940</v>
      </c>
      <c r="B999" s="1" t="s">
        <v>941</v>
      </c>
      <c r="C999" s="1" t="s">
        <v>942</v>
      </c>
      <c r="D999" s="1" t="s">
        <v>4552</v>
      </c>
      <c r="F999" s="6" t="str">
        <f>HYPERLINK("https://claytonpl.org/locations/morrow/")</f>
        <v>https://claytonpl.org/locations/morrow/</v>
      </c>
    </row>
    <row r="1000" spans="1:6" ht="15">
      <c r="A1000" s="2" t="s">
        <v>4173</v>
      </c>
      <c r="B1000" s="1" t="s">
        <v>4174</v>
      </c>
      <c r="C1000" s="1" t="s">
        <v>4175</v>
      </c>
      <c r="D1000" s="1" t="s">
        <v>5488</v>
      </c>
      <c r="E1000" s="5" t="str">
        <f>HYPERLINK("mailto:board@mortontheatre.com","board@mortontheatre.com")</f>
        <v>board@mortontheatre.com</v>
      </c>
      <c r="F1000" s="6" t="str">
        <f>HYPERLINK("https://www.mortontheatre.com/morton-theatre-corporation/")</f>
        <v>https://www.mortontheatre.com/morton-theatre-corporation/</v>
      </c>
    </row>
    <row r="1001" spans="1:6" ht="30">
      <c r="A1001" s="2" t="s">
        <v>3965</v>
      </c>
      <c r="B1001" s="1" t="s">
        <v>3966</v>
      </c>
      <c r="C1001" s="1" t="s">
        <v>3967</v>
      </c>
      <c r="D1001" s="1" t="s">
        <v>5412</v>
      </c>
      <c r="F1001" s="6" t="str">
        <f>HYPERLINK("http://parks.chathamcounty.org/Parks/Neighborhood-Parks/Mother-Mathilda-Beasley")</f>
        <v>http://parks.chathamcounty.org/Parks/Neighborhood-Parks/Mother-Mathilda-Beasley</v>
      </c>
    </row>
    <row r="1002" spans="1:6" ht="15">
      <c r="A1002" s="2" t="s">
        <v>1003</v>
      </c>
      <c r="B1002" s="1" t="s">
        <v>1004</v>
      </c>
      <c r="C1002" s="1" t="s">
        <v>1005</v>
      </c>
      <c r="D1002" s="1" t="s">
        <v>4573</v>
      </c>
      <c r="E1002" s="5" t="str">
        <f>HYPERLINK("mailto:mccls@mccls.org","mccls@mccls.org")</f>
        <v>mccls@mccls.org</v>
      </c>
      <c r="F1002" s="6" t="str">
        <f>HYPERLINK("https://www.mccls.org/about-library-2/branches/main-library")</f>
        <v>https://www.mccls.org/about-library-2/branches/main-library</v>
      </c>
    </row>
    <row r="1003" spans="1:6" ht="15">
      <c r="A1003" s="2" t="s">
        <v>2262</v>
      </c>
      <c r="B1003" s="1" t="s">
        <v>2263</v>
      </c>
      <c r="C1003" s="1" t="s">
        <v>2264</v>
      </c>
      <c r="D1003" s="1" t="s">
        <v>4523</v>
      </c>
      <c r="E1003" s="5" t="str">
        <f>HYPERLINK("mailto:vsizemore@wgrls.org","vsizemore@wgrls.org")</f>
        <v>vsizemore@wgrls.org</v>
      </c>
      <c r="F1003" s="6" t="str">
        <f>HYPERLINK("http://www.wgrls.org/visit/mountzion/")</f>
        <v>http://www.wgrls.org/visit/mountzion/</v>
      </c>
    </row>
    <row r="1004" spans="1:6" ht="15">
      <c r="A1004" s="2" t="s">
        <v>2118</v>
      </c>
      <c r="B1004" s="1" t="s">
        <v>2119</v>
      </c>
      <c r="C1004" s="1" t="s">
        <v>2120</v>
      </c>
      <c r="D1004" s="1" t="s">
        <v>4645</v>
      </c>
      <c r="F1004" s="6" t="str">
        <f>HYPERLINK("https://www.gwinnettpl.org/locations-and-hours/")</f>
        <v>https://www.gwinnettpl.org/locations-and-hours/</v>
      </c>
    </row>
    <row r="1005" spans="1:6" ht="30">
      <c r="A1005" s="2" t="s">
        <v>2185</v>
      </c>
      <c r="B1005" s="1" t="s">
        <v>2186</v>
      </c>
      <c r="C1005" s="1" t="s">
        <v>2187</v>
      </c>
      <c r="D1005" s="1" t="s">
        <v>4926</v>
      </c>
      <c r="E1005" s="5" t="str">
        <f>HYPERLINK("mailto:cgibson@mountainregionallibrary.org","cgibson@mountainregionallibrary.org")</f>
        <v>cgibson@mountainregionallibrary.org</v>
      </c>
      <c r="F1005" s="6" t="str">
        <f>HYPERLINK("https://www.mountainregionallibrary.org/mountain-regional-library-young-harris")</f>
        <v>https://www.mountainregionallibrary.org/mountain-regional-library-young-harris</v>
      </c>
    </row>
    <row r="1006" spans="1:6" ht="15">
      <c r="A1006" s="2" t="s">
        <v>964</v>
      </c>
      <c r="B1006" s="1" t="s">
        <v>965</v>
      </c>
      <c r="C1006" s="1" t="s">
        <v>966</v>
      </c>
      <c r="D1006" s="1" t="s">
        <v>4560</v>
      </c>
      <c r="F1006" s="6" t="str">
        <f>HYPERLINK("http://www.cobbcat.org/venue/mountain-view-regional-library/")</f>
        <v>http://www.cobbcat.org/venue/mountain-view-regional-library/</v>
      </c>
    </row>
    <row r="1007" spans="1:6" ht="15">
      <c r="A1007" s="2" t="s">
        <v>4176</v>
      </c>
      <c r="D1007" s="1" t="s">
        <v>5489</v>
      </c>
      <c r="E1007" s="5" t="str">
        <f>HYPERLINK("mailto:nomad3@bellsouth.net","nomad3@bellsouth.net")</f>
        <v>nomad3@bellsouth.net</v>
      </c>
      <c r="F1007" s="6" t="str">
        <f>HYPERLINK("http://theaterartsandpuppets.com/")</f>
        <v>http://theaterartsandpuppets.com/</v>
      </c>
    </row>
    <row r="1008" spans="1:6" ht="15">
      <c r="A1008" s="2" t="s">
        <v>853</v>
      </c>
      <c r="B1008" s="1" t="s">
        <v>854</v>
      </c>
      <c r="C1008" s="1" t="s">
        <v>855</v>
      </c>
      <c r="D1008" s="1" t="s">
        <v>4523</v>
      </c>
      <c r="F1008" s="6" t="str">
        <f>HYPERLINK("http://www.wgrls.org/visit/mountzion/")</f>
        <v>http://www.wgrls.org/visit/mountzion/</v>
      </c>
    </row>
    <row r="1009" spans="1:6" ht="15">
      <c r="A1009" s="2" t="s">
        <v>1597</v>
      </c>
      <c r="B1009" s="1" t="s">
        <v>1598</v>
      </c>
      <c r="C1009" s="1" t="s">
        <v>1599</v>
      </c>
      <c r="D1009" s="1" t="s">
        <v>4755</v>
      </c>
      <c r="F1009" s="6" t="str">
        <f>HYPERLINK("https://hallcountylibrary.org/index.php/branch-locations")</f>
        <v>https://hallcountylibrary.org/index.php/branch-locations</v>
      </c>
    </row>
    <row r="1010" spans="1:6" ht="15">
      <c r="A1010" s="2" t="s">
        <v>2847</v>
      </c>
      <c r="E1010" s="5" t="str">
        <f>HYPERLINK("mailto:calliebmcginnis@gmail.com","calliebmcginnis@gmail.com")</f>
        <v>calliebmcginnis@gmail.com</v>
      </c>
      <c r="F1010" s="6" t="str">
        <f>HYPERLINK("http://www.muscogeegenealogy.com")</f>
        <v>http://www.muscogeegenealogy.com</v>
      </c>
    </row>
    <row r="1011" spans="1:6" ht="30">
      <c r="A1011" s="2" t="s">
        <v>2848</v>
      </c>
      <c r="B1011" s="1" t="s">
        <v>2849</v>
      </c>
      <c r="C1011" s="1" t="s">
        <v>2850</v>
      </c>
      <c r="D1011" s="1" t="s">
        <v>5123</v>
      </c>
      <c r="E1011" s="5" t="str">
        <f>HYPERLINK("mailto:mhargaden@gcsu.edu","mhargaden@gcsu.edu")</f>
        <v>mhargaden@gcsu.edu</v>
      </c>
      <c r="F1011" s="6" t="str">
        <f>HYPERLINK("https://www.visitmilledgeville.org/listings/museum-%26-archives-of-georgia-education/12/")</f>
        <v>https://www.visitmilledgeville.org/listings/museum-%26-archives-of-georgia-education/12/</v>
      </c>
    </row>
    <row r="1012" spans="1:7" ht="15">
      <c r="A1012" s="2" t="s">
        <v>736</v>
      </c>
      <c r="B1012" s="1" t="s">
        <v>737</v>
      </c>
      <c r="C1012" s="1" t="s">
        <v>738</v>
      </c>
      <c r="D1012" s="1" t="s">
        <v>4486</v>
      </c>
      <c r="E1012" s="5" t="str">
        <f>HYPERLINK("mailto:swelsh@masmacon.com","swelsh@masmacon.com")</f>
        <v>swelsh@masmacon.com</v>
      </c>
      <c r="F1012" s="6" t="str">
        <f>HYPERLINK("http://www.masmacon.org/")</f>
        <v>http://www.masmacon.org/</v>
      </c>
      <c r="G1012" s="5" t="str">
        <f>HYPERLINK("https://www.facebook.com/MASMacon")</f>
        <v>https://www.facebook.com/MASMacon</v>
      </c>
    </row>
    <row r="1013" spans="1:8" ht="15">
      <c r="A1013" s="2" t="s">
        <v>739</v>
      </c>
      <c r="B1013" s="1" t="s">
        <v>740</v>
      </c>
      <c r="C1013" s="1" t="s">
        <v>741</v>
      </c>
      <c r="D1013" s="1" t="s">
        <v>4487</v>
      </c>
      <c r="E1013" s="5" t="str">
        <f>HYPERLINK("mailto:information@museumofaviation.org","information@museumofaviation.org")</f>
        <v>information@museumofaviation.org</v>
      </c>
      <c r="F1013" s="6" t="str">
        <f>HYPERLINK("http://www.museumofaviation.org/")</f>
        <v>http://www.museumofaviation.org/</v>
      </c>
      <c r="G1013" s="5" t="str">
        <f>HYPERLINK("https://www.facebook.com/MuseumofAviation")</f>
        <v>https://www.facebook.com/MuseumofAviation</v>
      </c>
      <c r="H1013" s="5" t="str">
        <f>HYPERLINK("https://twitter.com/moaatrafb")</f>
        <v>https://twitter.com/moaatrafb</v>
      </c>
    </row>
    <row r="1014" spans="1:6" ht="15">
      <c r="A1014" s="2" t="s">
        <v>3749</v>
      </c>
      <c r="B1014" s="1" t="s">
        <v>3750</v>
      </c>
      <c r="C1014" s="1" t="s">
        <v>3751</v>
      </c>
      <c r="D1014" s="1" t="s">
        <v>5364</v>
      </c>
      <c r="F1014" s="6" t="str">
        <f>HYPERLINK("http://www.museumofbuford.com")</f>
        <v>http://www.museumofbuford.com</v>
      </c>
    </row>
    <row r="1015" spans="1:6" ht="15">
      <c r="A1015" s="2" t="s">
        <v>1851</v>
      </c>
      <c r="B1015" s="1" t="s">
        <v>1852</v>
      </c>
      <c r="C1015" s="1" t="s">
        <v>1853</v>
      </c>
      <c r="D1015" s="1" t="s">
        <v>4829</v>
      </c>
      <c r="F1015" s="6" t="str">
        <f>HYPERLINK("http://colquittmuseum.org/")</f>
        <v>http://colquittmuseum.org/</v>
      </c>
    </row>
    <row r="1016" spans="1:6" ht="15">
      <c r="A1016" s="2" t="s">
        <v>742</v>
      </c>
      <c r="B1016" s="1" t="s">
        <v>743</v>
      </c>
      <c r="C1016" s="1" t="s">
        <v>744</v>
      </c>
      <c r="D1016" s="1" t="s">
        <v>4488</v>
      </c>
      <c r="E1016" s="5" t="str">
        <f>HYPERLINK("mailto:info@mocaga.org","info@mocaga.org")</f>
        <v>info@mocaga.org</v>
      </c>
      <c r="F1016" s="6" t="str">
        <f>HYPERLINK("https://mocaga.org/")</f>
        <v>https://mocaga.org/</v>
      </c>
    </row>
    <row r="1017" spans="1:6" ht="15">
      <c r="A1017" s="2" t="s">
        <v>745</v>
      </c>
      <c r="C1017" s="1" t="s">
        <v>746</v>
      </c>
      <c r="F1017" s="6" t="str">
        <f>HYPERLINK("http://www.museumofdesign.org/")</f>
        <v>http://www.museumofdesign.org/</v>
      </c>
    </row>
    <row r="1018" spans="1:6" ht="15">
      <c r="A1018" s="2" t="s">
        <v>1834</v>
      </c>
      <c r="B1018" s="1" t="s">
        <v>1835</v>
      </c>
      <c r="C1018" s="1" t="s">
        <v>1836</v>
      </c>
      <c r="D1018" s="1" t="s">
        <v>4824</v>
      </c>
      <c r="E1018" s="5" t="str">
        <f>HYPERLINK("mailto:mhhe@kennesaw.edu","mhhe@kennesaw.edu")</f>
        <v>mhhe@kennesaw.edu</v>
      </c>
      <c r="F1018" s="6" t="str">
        <f>HYPERLINK("https://historymuseum.kennesaw.edu/")</f>
        <v>https://historymuseum.kennesaw.edu/</v>
      </c>
    </row>
    <row r="1019" spans="1:7" ht="15">
      <c r="A1019" s="2" t="s">
        <v>3995</v>
      </c>
      <c r="B1019" s="1" t="s">
        <v>3996</v>
      </c>
      <c r="C1019" s="1" t="s">
        <v>3997</v>
      </c>
      <c r="D1019" s="1" t="s">
        <v>5421</v>
      </c>
      <c r="E1019" s="5" t="str">
        <f>HYPERLINK("mailto:tina.ashford@mga.edu","tina.ashford@mga.edu")</f>
        <v>tina.ashford@mga.edu</v>
      </c>
      <c r="G1019" s="5" t="str">
        <f>HYPERLINK("https://www.facebook.com/MGATechnologyMuseum")</f>
        <v>https://www.facebook.com/MGATechnologyMuseum</v>
      </c>
    </row>
    <row r="1020" spans="1:3" ht="15">
      <c r="A1020" s="2" t="s">
        <v>368</v>
      </c>
      <c r="C1020" s="1" t="s">
        <v>369</v>
      </c>
    </row>
    <row r="1021" spans="1:6" ht="15">
      <c r="A1021" s="2" t="s">
        <v>1411</v>
      </c>
      <c r="B1021" s="1" t="s">
        <v>1412</v>
      </c>
      <c r="C1021" s="1" t="s">
        <v>1413</v>
      </c>
      <c r="D1021" s="1" t="s">
        <v>4701</v>
      </c>
      <c r="E1021" s="5" t="str">
        <f>HYPERLINK("mailto:publiccomment@conyersrockdalelibrary.org","publiccomment@conyersrockdalelibrary.org")</f>
        <v>publiccomment@conyersrockdalelibrary.org</v>
      </c>
      <c r="F1021" s="6" t="str">
        <f>HYPERLINK("https://conyersrockdalelibrary.org")</f>
        <v>https://conyersrockdalelibrary.org</v>
      </c>
    </row>
    <row r="1022" spans="1:3" ht="15">
      <c r="A1022" s="2" t="s">
        <v>5</v>
      </c>
      <c r="C1022" s="1" t="s">
        <v>6</v>
      </c>
    </row>
    <row r="1023" spans="1:3" ht="15">
      <c r="A1023" s="2" t="s">
        <v>52</v>
      </c>
      <c r="C1023" s="1" t="s">
        <v>53</v>
      </c>
    </row>
    <row r="1024" spans="1:8" ht="15">
      <c r="A1024" s="2" t="s">
        <v>299</v>
      </c>
      <c r="B1024" s="1" t="s">
        <v>300</v>
      </c>
      <c r="C1024" s="1" t="s">
        <v>301</v>
      </c>
      <c r="D1024" s="1" t="s">
        <v>4363</v>
      </c>
      <c r="E1024" s="5" t="str">
        <f>HYPERLINK("mailto:atlanta.archives@nara.gov","atlanta.archives@nara.gov")</f>
        <v>atlanta.archives@nara.gov</v>
      </c>
      <c r="F1024" s="6" t="str">
        <f>HYPERLINK("https://www.archives.gov/atlanta")</f>
        <v>https://www.archives.gov/atlanta</v>
      </c>
      <c r="H1024" s="5" t="str">
        <f>HYPERLINK("https://twitter.com/atlantaarchives")</f>
        <v>https://twitter.com/atlantaarchives</v>
      </c>
    </row>
    <row r="1025" spans="1:8" ht="15">
      <c r="A1025" s="2" t="s">
        <v>749</v>
      </c>
      <c r="B1025" s="1" t="s">
        <v>750</v>
      </c>
      <c r="C1025" s="1" t="s">
        <v>751</v>
      </c>
      <c r="D1025" s="1" t="s">
        <v>4489</v>
      </c>
      <c r="E1025" s="5" t="str">
        <f>HYPERLINK("mailto:info@nbaf.org","info@nbaf.org")</f>
        <v>info@nbaf.org</v>
      </c>
      <c r="F1025" s="6" t="str">
        <f>HYPERLINK("http://nbaf.org/")</f>
        <v>http://nbaf.org/</v>
      </c>
      <c r="G1025" s="5" t="str">
        <f>HYPERLINK("https://www.facebook.com/nbafreimagined")</f>
        <v>https://www.facebook.com/nbafreimagined</v>
      </c>
      <c r="H1025" s="5" t="str">
        <f>HYPERLINK("https://twitter.com/NBAF")</f>
        <v>https://twitter.com/NBAF</v>
      </c>
    </row>
    <row r="1026" spans="1:6" ht="15">
      <c r="A1026" s="2" t="s">
        <v>208</v>
      </c>
      <c r="C1026" s="1" t="s">
        <v>209</v>
      </c>
      <c r="F1026" s="6" t="str">
        <f>HYPERLINK("http://www.nationalblackgolfhalloffame.com/")</f>
        <v>http://www.nationalblackgolfhalloffame.com/</v>
      </c>
    </row>
    <row r="1027" spans="1:6" ht="15">
      <c r="A1027" s="2" t="s">
        <v>752</v>
      </c>
      <c r="C1027" s="1" t="s">
        <v>753</v>
      </c>
      <c r="F1027" s="6" t="str">
        <f>HYPERLINK("http://www.civilandhumanrights.org/")</f>
        <v>http://www.civilandhumanrights.org/</v>
      </c>
    </row>
    <row r="1028" spans="1:6" ht="15">
      <c r="A1028" s="2" t="s">
        <v>754</v>
      </c>
      <c r="B1028" s="1" t="s">
        <v>755</v>
      </c>
      <c r="C1028" s="1" t="s">
        <v>756</v>
      </c>
      <c r="D1028" s="1" t="s">
        <v>4490</v>
      </c>
      <c r="E1028" s="5" t="str">
        <f>HYPERLINK("mailto:director@portcolumbus.org","director@portcolumbus.org")</f>
        <v>director@portcolumbus.org</v>
      </c>
      <c r="F1028" s="6" t="str">
        <f>HYPERLINK("https://www.portcolumbus.org/")</f>
        <v>https://www.portcolumbus.org/</v>
      </c>
    </row>
    <row r="1029" spans="1:8" ht="15">
      <c r="A1029" s="2" t="s">
        <v>757</v>
      </c>
      <c r="B1029" s="1" t="s">
        <v>758</v>
      </c>
      <c r="C1029" s="1" t="s">
        <v>759</v>
      </c>
      <c r="D1029" s="1" t="s">
        <v>4491</v>
      </c>
      <c r="F1029" s="6" t="str">
        <f>HYPERLINK("https://nationalinfantrymuseum.org/")</f>
        <v>https://nationalinfantrymuseum.org/</v>
      </c>
      <c r="G1029" s="5" t="str">
        <f>HYPERLINK("https://www.facebook.com/nationalinfantrymuseum")</f>
        <v>https://www.facebook.com/nationalinfantrymuseum</v>
      </c>
      <c r="H1029" s="5" t="str">
        <f>HYPERLINK("https://twitter.com/infantrymuseum")</f>
        <v>https://twitter.com/infantrymuseum</v>
      </c>
    </row>
    <row r="1030" spans="1:6" ht="15">
      <c r="A1030" s="2" t="s">
        <v>1543</v>
      </c>
      <c r="B1030" s="1" t="s">
        <v>1544</v>
      </c>
      <c r="C1030" s="1" t="s">
        <v>1545</v>
      </c>
      <c r="D1030" s="1" t="s">
        <v>4745</v>
      </c>
      <c r="E1030" s="5" t="str">
        <f>HYPERLINK("mailto:parkerh@ohoopeelibrary.org","parkerh@ohoopeelibrary.org")</f>
        <v>parkerh@ohoopeelibrary.org</v>
      </c>
      <c r="F1030" s="6" t="str">
        <f>HYPERLINK("https://ohoopeelibrary.org/locations/nelle-brown-memorial-library/")</f>
        <v>https://ohoopeelibrary.org/locations/nelle-brown-memorial-library/</v>
      </c>
    </row>
    <row r="1031" spans="1:6" ht="15">
      <c r="A1031" s="2" t="s">
        <v>844</v>
      </c>
      <c r="B1031" s="1" t="s">
        <v>845</v>
      </c>
      <c r="C1031" s="1" t="s">
        <v>846</v>
      </c>
      <c r="D1031" s="1" t="s">
        <v>4520</v>
      </c>
      <c r="E1031" s="5" t="str">
        <f>HYPERLINK("mailto:rlinn@wgrls.org","rlinn@wgrls.org")</f>
        <v>rlinn@wgrls.org</v>
      </c>
      <c r="F1031" s="6" t="str">
        <f>HYPERLINK("http://www.wgrls.org/visit/carrollton/")</f>
        <v>http://www.wgrls.org/visit/carrollton/</v>
      </c>
    </row>
    <row r="1032" spans="1:6" ht="15">
      <c r="A1032" s="2" t="s">
        <v>1645</v>
      </c>
      <c r="B1032" s="1" t="s">
        <v>1646</v>
      </c>
      <c r="C1032" s="1" t="s">
        <v>1647</v>
      </c>
      <c r="D1032" s="1" t="s">
        <v>4768</v>
      </c>
      <c r="F1032" s="6" t="str">
        <f>HYPERLINK("https://gastateparks.org/NewEchota")</f>
        <v>https://gastateparks.org/NewEchota</v>
      </c>
    </row>
    <row r="1033" spans="1:6" ht="15">
      <c r="A1033" s="2" t="s">
        <v>850</v>
      </c>
      <c r="B1033" s="1" t="s">
        <v>851</v>
      </c>
      <c r="C1033" s="1" t="s">
        <v>852</v>
      </c>
      <c r="D1033" s="1" t="s">
        <v>4522</v>
      </c>
      <c r="E1033" s="5" t="str">
        <f>HYPERLINK("mailto:hlegrand@wgrls.org","hlegrand@wgrls.org")</f>
        <v>hlegrand@wgrls.org</v>
      </c>
      <c r="F1033" s="6" t="str">
        <f>HYPERLINK("http://www.wgrls.org/visit/newgeorgia/")</f>
        <v>http://www.wgrls.org/visit/newgeorgia/</v>
      </c>
    </row>
    <row r="1034" spans="1:6" ht="30">
      <c r="A1034" s="2" t="s">
        <v>3255</v>
      </c>
      <c r="B1034" s="1" t="s">
        <v>3256</v>
      </c>
      <c r="C1034" s="1" t="s">
        <v>3257</v>
      </c>
      <c r="D1034" s="1" t="s">
        <v>5236</v>
      </c>
      <c r="F1034" s="6" t="str">
        <f>HYPERLINK("https://www.nobts.edu/extensions/gaal-centers/nga-resources.html")</f>
        <v>https://www.nobts.edu/extensions/gaal-centers/nga-resources.html</v>
      </c>
    </row>
    <row r="1035" spans="1:4" ht="15">
      <c r="A1035" s="2" t="s">
        <v>1390</v>
      </c>
      <c r="B1035" s="1" t="s">
        <v>1391</v>
      </c>
      <c r="C1035" s="1" t="s">
        <v>1392</v>
      </c>
      <c r="D1035" s="1" t="s">
        <v>4694</v>
      </c>
    </row>
    <row r="1036" spans="1:6" ht="15">
      <c r="A1036" s="2" t="s">
        <v>2016</v>
      </c>
      <c r="B1036" s="1" t="s">
        <v>2017</v>
      </c>
      <c r="C1036" s="1" t="s">
        <v>2018</v>
      </c>
      <c r="D1036" s="1" t="s">
        <v>4879</v>
      </c>
      <c r="F1036" s="6" t="str">
        <f>HYPERLINK("https://www.newnancarnegie.com/")</f>
        <v>https://www.newnancarnegie.com/</v>
      </c>
    </row>
    <row r="1037" spans="1:6" ht="15">
      <c r="A1037" s="2" t="s">
        <v>1854</v>
      </c>
      <c r="B1037" s="1" t="s">
        <v>1703</v>
      </c>
      <c r="C1037" s="1" t="s">
        <v>1855</v>
      </c>
      <c r="D1037" s="1" t="s">
        <v>4785</v>
      </c>
      <c r="E1037" s="5" t="str">
        <f>HYPERLINK("mailto:executivedirector@newnancowetahistoricalsociety.com","executivedirector@newnancowetahistoricalsociety.com")</f>
        <v>executivedirector@newnancowetahistoricalsociety.com</v>
      </c>
      <c r="F1037" s="6" t="str">
        <f>HYPERLINK("http://newnancowetahistoricalsociety.com/")</f>
        <v>http://newnancowetahistoricalsociety.com/</v>
      </c>
    </row>
    <row r="1038" spans="1:7" ht="15">
      <c r="A1038" s="2" t="s">
        <v>2868</v>
      </c>
      <c r="D1038" s="1" t="s">
        <v>5130</v>
      </c>
      <c r="G1038" s="5" t="str">
        <f>HYPERLINK("https://www.facebook.com/newtoncountyhistoricalsocietyga")</f>
        <v>https://www.facebook.com/newtoncountyhistoricalsocietyga</v>
      </c>
    </row>
    <row r="1039" spans="1:6" ht="15">
      <c r="A1039" s="2" t="s">
        <v>991</v>
      </c>
      <c r="B1039" s="1" t="s">
        <v>992</v>
      </c>
      <c r="C1039" s="1" t="s">
        <v>993</v>
      </c>
      <c r="D1039" s="1" t="s">
        <v>4569</v>
      </c>
      <c r="E1039" s="5" t="str">
        <f>HYPERLINK("mailto:nichlib@srlsys.org","nichlib@srlsys.org")</f>
        <v>nichlib@srlsys.org</v>
      </c>
      <c r="F1039" s="6" t="str">
        <f>HYPERLINK("http://srlsys.org/nicholls-public-library/")</f>
        <v>http://srlsys.org/nicholls-public-library/</v>
      </c>
    </row>
    <row r="1040" spans="1:6" ht="15">
      <c r="A1040" s="2" t="s">
        <v>763</v>
      </c>
      <c r="B1040" s="1" t="s">
        <v>764</v>
      </c>
      <c r="C1040" s="1" t="s">
        <v>765</v>
      </c>
      <c r="D1040" s="1" t="s">
        <v>4493</v>
      </c>
      <c r="E1040" s="5" t="str">
        <f>HYPERLINK("mailto:rokeeffe@prlib.org","rokeeffe@prlib.org")</f>
        <v>rokeeffe@prlib.org</v>
      </c>
      <c r="F1040" s="6" t="str">
        <f>HYPERLINK("https://www.prlib.org/nicholson")</f>
        <v>https://www.prlib.org/nicholson</v>
      </c>
    </row>
    <row r="1041" spans="1:6" ht="15">
      <c r="A1041" s="2" t="s">
        <v>3895</v>
      </c>
      <c r="B1041" s="1" t="s">
        <v>3896</v>
      </c>
      <c r="C1041" s="1" t="s">
        <v>3897</v>
      </c>
      <c r="D1041" s="1" t="s">
        <v>5398</v>
      </c>
      <c r="F1041" s="6" t="str">
        <f>HYPERLINK("https://noblehillwheeler.org/")</f>
        <v>https://noblehillwheeler.org/</v>
      </c>
    </row>
    <row r="1042" spans="1:6" ht="15">
      <c r="A1042" s="2" t="s">
        <v>1273</v>
      </c>
      <c r="B1042" s="1" t="s">
        <v>1274</v>
      </c>
      <c r="C1042" s="1" t="s">
        <v>1275</v>
      </c>
      <c r="D1042" s="1" t="s">
        <v>4656</v>
      </c>
      <c r="F1042" s="6" t="str">
        <f>HYPERLINK("https://houpl.org/?page_id=11")</f>
        <v>https://houpl.org/?page_id=11</v>
      </c>
    </row>
    <row r="1043" spans="1:6" ht="15">
      <c r="A1043" s="2" t="s">
        <v>2121</v>
      </c>
      <c r="B1043" s="1" t="s">
        <v>2122</v>
      </c>
      <c r="C1043" s="1" t="s">
        <v>2123</v>
      </c>
      <c r="D1043" s="1" t="s">
        <v>4645</v>
      </c>
      <c r="F1043" s="6" t="str">
        <f>HYPERLINK("https://www.gwinnettpl.org/locations-and-hours/")</f>
        <v>https://www.gwinnettpl.org/locations-and-hours/</v>
      </c>
    </row>
    <row r="1044" spans="1:6" ht="15">
      <c r="A1044" s="2" t="s">
        <v>3713</v>
      </c>
      <c r="B1044" s="1" t="s">
        <v>3714</v>
      </c>
      <c r="C1044" s="1" t="s">
        <v>3715</v>
      </c>
      <c r="D1044" s="1" t="s">
        <v>5356</v>
      </c>
      <c r="E1044" s="5" t="str">
        <f>HYPERLINK("mailto:HPC@norcrossga.net","HPC@norcrossga.net")</f>
        <v>HPC@norcrossga.net</v>
      </c>
      <c r="F1044" s="6" t="str">
        <f>HYPERLINK("http://www.norcrossga.net/893/Historic-Preservation-Commission")</f>
        <v>http://www.norcrossga.net/893/Historic-Preservation-Commission</v>
      </c>
    </row>
    <row r="1045" spans="1:6" ht="15">
      <c r="A1045" s="2" t="s">
        <v>2869</v>
      </c>
      <c r="B1045" s="1" t="s">
        <v>2870</v>
      </c>
      <c r="C1045" s="1" t="s">
        <v>2871</v>
      </c>
      <c r="D1045" s="1" t="s">
        <v>5131</v>
      </c>
      <c r="F1045" s="6" t="str">
        <f>HYPERLINK("https://www.norcrossga.net/322/Attractions")</f>
        <v>https://www.norcrossga.net/322/Attractions</v>
      </c>
    </row>
    <row r="1046" spans="1:6" ht="15">
      <c r="A1046" s="2" t="s">
        <v>3781</v>
      </c>
      <c r="B1046" s="1" t="s">
        <v>3782</v>
      </c>
      <c r="C1046" s="1" t="s">
        <v>3783</v>
      </c>
      <c r="D1046" s="1" t="s">
        <v>5371</v>
      </c>
      <c r="E1046" s="5" t="str">
        <f>HYPERLINK("mailto:NorthAlexanderSchool@gmail.com","NorthAlexanderSchool@gmail.com")</f>
        <v>NorthAlexanderSchool@gmail.com</v>
      </c>
      <c r="F1046" s="6" t="str">
        <f>HYPERLINK("https://www.northalexanderschool.com/")</f>
        <v>https://www.northalexanderschool.com/</v>
      </c>
    </row>
    <row r="1047" spans="1:6" ht="15">
      <c r="A1047" s="2" t="s">
        <v>2067</v>
      </c>
      <c r="B1047" s="1" t="s">
        <v>2068</v>
      </c>
      <c r="C1047" s="1" t="s">
        <v>2069</v>
      </c>
      <c r="D1047" s="1" t="s">
        <v>4897</v>
      </c>
      <c r="F1047" s="6" t="str">
        <f>HYPERLINK("http://www.cobbcat.org/venue/north-cobb-regional-library/")</f>
        <v>http://www.cobbcat.org/venue/north-cobb-regional-library/</v>
      </c>
    </row>
    <row r="1048" spans="1:6" ht="15">
      <c r="A1048" s="2" t="s">
        <v>1378</v>
      </c>
      <c r="B1048" s="1" t="s">
        <v>1379</v>
      </c>
      <c r="C1048" s="1" t="s">
        <v>1380</v>
      </c>
      <c r="D1048" s="1" t="s">
        <v>4691</v>
      </c>
      <c r="F1048" s="6" t="str">
        <f>HYPERLINK("https://www.cvlga.org/north-columbus-public-library/")</f>
        <v>https://www.cvlga.org/north-columbus-public-library/</v>
      </c>
    </row>
    <row r="1049" spans="1:7" ht="15">
      <c r="A1049" s="2" t="s">
        <v>4180</v>
      </c>
      <c r="B1049" s="1" t="s">
        <v>4181</v>
      </c>
      <c r="C1049" s="1" t="s">
        <v>4182</v>
      </c>
      <c r="D1049" s="1" t="s">
        <v>5491</v>
      </c>
      <c r="E1049" s="5" t="str">
        <f>HYPERLINK("mailto:info@northgeorgiaartsguild.com","info@northgeorgiaartsguild.com")</f>
        <v>info@northgeorgiaartsguild.com</v>
      </c>
      <c r="F1049" s="6" t="str">
        <f>HYPERLINK("http://northgeorgiaartsguild.com/")</f>
        <v>http://northgeorgiaartsguild.com/</v>
      </c>
      <c r="G1049" s="5" t="str">
        <f>HYPERLINK("https://www.facebook.com/ngag.art")</f>
        <v>https://www.facebook.com/ngag.art</v>
      </c>
    </row>
    <row r="1050" spans="1:6" ht="15">
      <c r="A1050" s="2" t="s">
        <v>3760</v>
      </c>
      <c r="B1050" s="1" t="s">
        <v>3761</v>
      </c>
      <c r="C1050" s="1" t="s">
        <v>3762</v>
      </c>
      <c r="D1050" s="1" t="s">
        <v>5366</v>
      </c>
      <c r="E1050" s="5" t="str">
        <f>HYPERLINK("mailto:newsletter@Northgeorgialivesteamers.org","newsletter@Northgeorgialivesteamers.org")</f>
        <v>newsletter@Northgeorgialivesteamers.org</v>
      </c>
      <c r="F1050" s="6" t="str">
        <f>HYPERLINK("http://www.northgeorgialivesteamers.org/")</f>
        <v>http://www.northgeorgialivesteamers.org/</v>
      </c>
    </row>
    <row r="1051" spans="1:6" ht="15">
      <c r="A1051" s="2" t="s">
        <v>3364</v>
      </c>
      <c r="B1051" s="1" t="s">
        <v>3365</v>
      </c>
      <c r="C1051" s="1" t="s">
        <v>3366</v>
      </c>
      <c r="D1051" s="1" t="s">
        <v>5264</v>
      </c>
      <c r="F1051" s="6" t="str">
        <f>HYPERLINK("http://libguides.northgatech.edu/home")</f>
        <v>http://libguides.northgatech.edu/home</v>
      </c>
    </row>
    <row r="1052" spans="1:6" ht="15">
      <c r="A1052" s="2" t="s">
        <v>3367</v>
      </c>
      <c r="B1052" s="1" t="s">
        <v>3368</v>
      </c>
      <c r="C1052" s="1" t="s">
        <v>3369</v>
      </c>
      <c r="D1052" s="1" t="s">
        <v>5265</v>
      </c>
      <c r="F1052" s="6" t="str">
        <f>HYPERLINK("http://libguides.northgatech.edu/home")</f>
        <v>http://libguides.northgatech.edu/home</v>
      </c>
    </row>
    <row r="1053" spans="1:6" ht="15">
      <c r="A1053" s="2" t="s">
        <v>3370</v>
      </c>
      <c r="B1053" s="1" t="s">
        <v>3371</v>
      </c>
      <c r="C1053" s="1" t="s">
        <v>3372</v>
      </c>
      <c r="D1053" s="1" t="s">
        <v>5266</v>
      </c>
      <c r="F1053" s="6" t="str">
        <f>HYPERLINK("http://libguides.northgatech.edu/home")</f>
        <v>http://libguides.northgatech.edu/home</v>
      </c>
    </row>
    <row r="1054" spans="1:6" ht="15">
      <c r="A1054" s="2" t="s">
        <v>1606</v>
      </c>
      <c r="B1054" s="1" t="s">
        <v>1607</v>
      </c>
      <c r="C1054" s="1" t="s">
        <v>1608</v>
      </c>
      <c r="D1054" s="1" t="s">
        <v>4755</v>
      </c>
      <c r="F1054" s="6" t="str">
        <f>HYPERLINK("https://hallcountylibrary.org/index.php/branch-locations")</f>
        <v>https://hallcountylibrary.org/index.php/branch-locations</v>
      </c>
    </row>
    <row r="1055" spans="1:6" ht="30">
      <c r="A1055" s="2" t="s">
        <v>1856</v>
      </c>
      <c r="B1055" s="1" t="s">
        <v>1857</v>
      </c>
      <c r="C1055" s="1" t="s">
        <v>1858</v>
      </c>
      <c r="D1055" s="1" t="s">
        <v>4830</v>
      </c>
      <c r="E1055" s="5" t="str">
        <f>HYPERLINK("mailto:historycenter@brenau.edu","historycenter@brenau.edu")</f>
        <v>historycenter@brenau.edu</v>
      </c>
      <c r="F1055" s="6" t="str">
        <f>HYPERLINK("https://www.negahc.org/")</f>
        <v>https://www.negahc.org/</v>
      </c>
    </row>
    <row r="1056" spans="1:4" ht="30">
      <c r="A1056" s="2" t="s">
        <v>1261</v>
      </c>
      <c r="B1056" s="1" t="s">
        <v>1262</v>
      </c>
      <c r="C1056" s="1" t="s">
        <v>1263</v>
      </c>
      <c r="D1056" s="1" t="s">
        <v>4652</v>
      </c>
    </row>
    <row r="1057" spans="1:6" ht="15">
      <c r="A1057" s="2" t="s">
        <v>1183</v>
      </c>
      <c r="B1057" s="1" t="s">
        <v>1184</v>
      </c>
      <c r="C1057" s="1" t="s">
        <v>1185</v>
      </c>
      <c r="D1057" s="1" t="s">
        <v>4631</v>
      </c>
      <c r="F1057" s="6" t="str">
        <f>HYPERLINK("http://www.afpls.org/northeast-spruill-oaks-branch")</f>
        <v>http://www.afpls.org/northeast-spruill-oaks-branch</v>
      </c>
    </row>
    <row r="1058" spans="1:6" ht="15">
      <c r="A1058" s="2" t="s">
        <v>1072</v>
      </c>
      <c r="B1058" s="1" t="s">
        <v>1073</v>
      </c>
      <c r="C1058" s="1" t="s">
        <v>1074</v>
      </c>
      <c r="D1058" s="1" t="s">
        <v>4595</v>
      </c>
      <c r="F1058" s="6" t="str">
        <f>HYPERLINK("https://dekalblibrary.org/branches/nolk")</f>
        <v>https://dekalblibrary.org/branches/nolk</v>
      </c>
    </row>
    <row r="1059" spans="1:6" ht="15">
      <c r="A1059" s="2" t="s">
        <v>1129</v>
      </c>
      <c r="B1059" s="1" t="s">
        <v>1130</v>
      </c>
      <c r="C1059" s="1" t="s">
        <v>1131</v>
      </c>
      <c r="D1059" s="1" t="s">
        <v>4613</v>
      </c>
      <c r="F1059" s="6" t="str">
        <f>HYPERLINK("https://www.fulcolibrary.org/locations/nwest/")</f>
        <v>https://www.fulcolibrary.org/locations/nwest/</v>
      </c>
    </row>
    <row r="1060" spans="1:6" ht="30">
      <c r="A1060" s="2" t="s">
        <v>2872</v>
      </c>
      <c r="F1060" s="6" t="str">
        <f>HYPERLINK("http://www.rootsweb.com/~ganwhags/index.html")</f>
        <v>http://www.rootsweb.com/~ganwhags/index.html</v>
      </c>
    </row>
    <row r="1061" spans="1:6" ht="15">
      <c r="A1061" s="2" t="s">
        <v>290</v>
      </c>
      <c r="F1061" s="6" t="str">
        <f>HYPERLINK("http://ngrl.org/")</f>
        <v>http://ngrl.org/</v>
      </c>
    </row>
    <row r="1062" spans="1:6" ht="15">
      <c r="A1062" s="2" t="s">
        <v>2089</v>
      </c>
      <c r="B1062" s="1" t="s">
        <v>2090</v>
      </c>
      <c r="C1062" s="1" t="s">
        <v>2091</v>
      </c>
      <c r="D1062" s="1" t="s">
        <v>4903</v>
      </c>
      <c r="F1062" s="6" t="str">
        <f>HYPERLINK("http://www.docolib.org/index.php/about-us/location-hours/")</f>
        <v>http://www.docolib.org/index.php/about-us/location-hours/</v>
      </c>
    </row>
    <row r="1063" spans="1:8" ht="15">
      <c r="A1063" s="2" t="s">
        <v>4296</v>
      </c>
      <c r="B1063" s="1" t="s">
        <v>1648</v>
      </c>
      <c r="C1063" s="1" t="s">
        <v>1649</v>
      </c>
      <c r="D1063" s="1" t="s">
        <v>4769</v>
      </c>
      <c r="E1063" s="5" t="str">
        <f>HYPERLINK("mailto:space@nuci.org","space@nuci.org")</f>
        <v>space@nuci.org</v>
      </c>
      <c r="F1063" s="6" t="str">
        <f>HYPERLINK("https://www.nuci.org/")</f>
        <v>https://www.nuci.org/</v>
      </c>
      <c r="G1063" s="5" t="str">
        <f>HYPERLINK("https://www.facebook.com/nucisspace")</f>
        <v>https://www.facebook.com/nucisspace</v>
      </c>
      <c r="H1063" s="5" t="str">
        <f>HYPERLINK("https://twitter.com/nucisspace")</f>
        <v>https://twitter.com/nucisspace</v>
      </c>
    </row>
    <row r="1064" spans="1:6" ht="15">
      <c r="A1064" s="2" t="s">
        <v>1650</v>
      </c>
      <c r="B1064" s="1" t="s">
        <v>1651</v>
      </c>
      <c r="C1064" s="1" t="s">
        <v>1652</v>
      </c>
      <c r="D1064" s="1" t="s">
        <v>4770</v>
      </c>
      <c r="E1064" s="5" t="str">
        <f>HYPERLINK("mailto:oakhill@berry.edu","oakhill@berry.edu")</f>
        <v>oakhill@berry.edu</v>
      </c>
      <c r="F1064" s="6" t="str">
        <f>HYPERLINK("http://www.berry.edu/oakhill/")</f>
        <v>http://www.berry.edu/oakhill/</v>
      </c>
    </row>
    <row r="1065" spans="1:6" ht="15">
      <c r="A1065" s="2" t="s">
        <v>2141</v>
      </c>
      <c r="B1065" s="1" t="s">
        <v>2142</v>
      </c>
      <c r="C1065" s="1" t="s">
        <v>2143</v>
      </c>
      <c r="D1065" s="1" t="s">
        <v>4911</v>
      </c>
      <c r="F1065" s="6" t="str">
        <f>HYPERLINK("https://www.leecountylibrary.org/about/hours-locations")</f>
        <v>https://www.leecountylibrary.org/about/hours-locations</v>
      </c>
    </row>
    <row r="1066" spans="1:8" ht="15">
      <c r="A1066" s="2" t="s">
        <v>163</v>
      </c>
      <c r="B1066" s="1" t="s">
        <v>164</v>
      </c>
      <c r="C1066" s="1" t="s">
        <v>165</v>
      </c>
      <c r="D1066" s="1" t="s">
        <v>4332</v>
      </c>
      <c r="F1066" s="6" t="str">
        <f>HYPERLINK("https://www.nps.gov/ocmu/")</f>
        <v>https://www.nps.gov/ocmu/</v>
      </c>
      <c r="H1066" s="5" t="str">
        <f>HYPERLINK("https://twitter.com/OcmulgeeNPS1")</f>
        <v>https://twitter.com/OcmulgeeNPS1</v>
      </c>
    </row>
    <row r="1067" spans="1:3" ht="15">
      <c r="A1067" s="2" t="s">
        <v>118</v>
      </c>
      <c r="C1067" s="1" t="s">
        <v>119</v>
      </c>
    </row>
    <row r="1068" spans="1:7" ht="15">
      <c r="A1068" s="2" t="s">
        <v>3780</v>
      </c>
      <c r="E1068" s="5" t="str">
        <f>HYPERLINK("mailto:bj101246@gmail.com","bj101246@gmail.com")</f>
        <v>bj101246@gmail.com</v>
      </c>
      <c r="G1068" s="5" t="str">
        <f>HYPERLINK("https://www.facebook.com/OconeeHistoricalSociety")</f>
        <v>https://www.facebook.com/OconeeHistoricalSociety</v>
      </c>
    </row>
    <row r="1069" spans="1:6" ht="15">
      <c r="A1069" s="2" t="s">
        <v>2025</v>
      </c>
      <c r="B1069" s="1" t="s">
        <v>2026</v>
      </c>
      <c r="C1069" s="1" t="s">
        <v>2027</v>
      </c>
      <c r="D1069" s="1" t="s">
        <v>4882</v>
      </c>
      <c r="F1069" s="6" t="str">
        <f>HYPERLINK("http://www.athenslibrary.org/oconee")</f>
        <v>http://www.athenslibrary.org/oconee</v>
      </c>
    </row>
    <row r="1070" spans="1:7" ht="15">
      <c r="A1070" s="2" t="s">
        <v>4183</v>
      </c>
      <c r="B1070" s="1" t="s">
        <v>4184</v>
      </c>
      <c r="C1070" s="1" t="s">
        <v>4185</v>
      </c>
      <c r="D1070" s="1" t="s">
        <v>5492</v>
      </c>
      <c r="E1070" s="5" t="str">
        <f>HYPERLINK("mailto:info@ocaf.com","info@ocaf.com")</f>
        <v>info@ocaf.com</v>
      </c>
      <c r="F1070" s="6" t="str">
        <f>HYPERLINK("http://www.ocaf.com")</f>
        <v>http://www.ocaf.com</v>
      </c>
      <c r="G1070" s="5" t="str">
        <f>HYPERLINK("https://www.facebook.com/OCAF-Oconee-Cultural-Arts-Foundation-204015833222")</f>
        <v>https://www.facebook.com/OCAF-Oconee-Cultural-Arts-Foundation-204015833222</v>
      </c>
    </row>
    <row r="1071" spans="1:7" ht="15">
      <c r="A1071" s="2" t="s">
        <v>4183</v>
      </c>
      <c r="B1071" s="1" t="s">
        <v>4184</v>
      </c>
      <c r="C1071" s="1" t="s">
        <v>4185</v>
      </c>
      <c r="D1071" s="1" t="s">
        <v>5492</v>
      </c>
      <c r="E1071" s="5" t="str">
        <f>HYPERLINK("mailto:info@ocaf.com","info@ocaf.com")</f>
        <v>info@ocaf.com</v>
      </c>
      <c r="F1071" s="6" t="str">
        <f>HYPERLINK("http://www.ocaf.com")</f>
        <v>http://www.ocaf.com</v>
      </c>
      <c r="G1071" s="5" t="str">
        <f>HYPERLINK("https://www.facebook.com/ocaf1902")</f>
        <v>https://www.facebook.com/ocaf1902</v>
      </c>
    </row>
    <row r="1072" spans="1:4" ht="15">
      <c r="A1072" s="2" t="s">
        <v>3101</v>
      </c>
      <c r="B1072" s="1" t="s">
        <v>3102</v>
      </c>
      <c r="C1072" s="1" t="s">
        <v>3103</v>
      </c>
      <c r="D1072" s="1" t="s">
        <v>5194</v>
      </c>
    </row>
    <row r="1073" spans="1:4" ht="30">
      <c r="A1073" s="2" t="s">
        <v>3104</v>
      </c>
      <c r="B1073" s="1" t="s">
        <v>3105</v>
      </c>
      <c r="C1073" s="1" t="s">
        <v>3106</v>
      </c>
      <c r="D1073" s="1" t="s">
        <v>5195</v>
      </c>
    </row>
    <row r="1074" spans="1:4" ht="30">
      <c r="A1074" s="2" t="s">
        <v>2931</v>
      </c>
      <c r="B1074" s="1" t="s">
        <v>2932</v>
      </c>
      <c r="C1074" s="1" t="s">
        <v>2933</v>
      </c>
      <c r="D1074" s="1" t="s">
        <v>5146</v>
      </c>
    </row>
    <row r="1075" spans="1:6" ht="30">
      <c r="A1075" s="2" t="s">
        <v>3098</v>
      </c>
      <c r="B1075" s="1" t="s">
        <v>3099</v>
      </c>
      <c r="C1075" s="1" t="s">
        <v>3100</v>
      </c>
      <c r="D1075" s="1" t="s">
        <v>5193</v>
      </c>
      <c r="F1075" s="6" t="str">
        <f>HYPERLINK("https://www.oftc.edu/services/campus-resources/library/")</f>
        <v>https://www.oftc.edu/services/campus-resources/library/</v>
      </c>
    </row>
    <row r="1076" spans="1:7" ht="15">
      <c r="A1076" s="2" t="s">
        <v>4186</v>
      </c>
      <c r="B1076" s="1" t="s">
        <v>4187</v>
      </c>
      <c r="C1076" s="1" t="s">
        <v>4188</v>
      </c>
      <c r="D1076" s="1" t="s">
        <v>5493</v>
      </c>
      <c r="E1076" s="5" t="str">
        <f>HYPERLINK("mailto:info@opas.org","info@opas.org")</f>
        <v>info@opas.org</v>
      </c>
      <c r="F1076" s="6" t="str">
        <f>HYPERLINK("https://www.opas.org/")</f>
        <v>https://www.opas.org/</v>
      </c>
      <c r="G1076" s="5" t="str">
        <f>HYPERLINK("https://www.facebook.com/OPASarts")</f>
        <v>https://www.facebook.com/OPASarts</v>
      </c>
    </row>
    <row r="1077" spans="1:8" ht="15">
      <c r="A1077" s="2" t="s">
        <v>1653</v>
      </c>
      <c r="B1077" s="1" t="s">
        <v>542</v>
      </c>
      <c r="C1077" s="1" t="s">
        <v>1654</v>
      </c>
      <c r="D1077" s="1" t="s">
        <v>4771</v>
      </c>
      <c r="F1077" s="6" t="str">
        <f>HYPERLINK("https://www.valdosta.edu/academics/library/")</f>
        <v>https://www.valdosta.edu/academics/library/</v>
      </c>
      <c r="H1077" s="5" t="str">
        <f>HYPERLINK("https://twitter.com/VSUOdumLibrary")</f>
        <v>https://twitter.com/VSUOdumLibrary</v>
      </c>
    </row>
    <row r="1078" spans="1:6" ht="15">
      <c r="A1078" s="2" t="s">
        <v>2431</v>
      </c>
      <c r="D1078" s="1" t="s">
        <v>4993</v>
      </c>
      <c r="E1078" s="5" t="str">
        <f>HYPERLINK("mailto:deborah.e.fosterking.civ@mail.mil","deborah.e.fosterking.civ@mail.mil")</f>
        <v>deborah.e.fosterking.civ@mail.mil</v>
      </c>
      <c r="F1078" s="6" t="str">
        <f>HYPERLINK("https://www.usar.army.mil/ArmyReserveHistory/Archives/")</f>
        <v>https://www.usar.army.mil/ArmyReserveHistory/Archives/</v>
      </c>
    </row>
    <row r="1079" spans="1:6" ht="15">
      <c r="A1079" s="2" t="s">
        <v>3769</v>
      </c>
      <c r="B1079" s="1" t="s">
        <v>3770</v>
      </c>
      <c r="C1079" s="1" t="s">
        <v>3771</v>
      </c>
      <c r="D1079" s="1" t="s">
        <v>5369</v>
      </c>
      <c r="F1079" s="6" t="str">
        <f>HYPERLINK("https://www.ogeecheerivercarmuseum.org/")</f>
        <v>https://www.ogeecheerivercarmuseum.org/</v>
      </c>
    </row>
    <row r="1080" spans="1:6" ht="15">
      <c r="A1080" s="2" t="s">
        <v>3373</v>
      </c>
      <c r="B1080" s="1" t="s">
        <v>3374</v>
      </c>
      <c r="C1080" s="1" t="s">
        <v>3375</v>
      </c>
      <c r="D1080" s="1" t="s">
        <v>5267</v>
      </c>
      <c r="E1080" s="5" t="str">
        <f>HYPERLINK("mailto:library@ogeecheetech.edu","library@ogeecheetech.edu")</f>
        <v>library@ogeecheetech.edu</v>
      </c>
      <c r="F1080" s="6" t="str">
        <f>HYPERLINK("http://www.ogeecheetech.edu/library")</f>
        <v>http://www.ogeecheetech.edu/library</v>
      </c>
    </row>
    <row r="1081" spans="1:6" ht="15">
      <c r="A1081" s="2" t="s">
        <v>2028</v>
      </c>
      <c r="B1081" s="1" t="s">
        <v>2029</v>
      </c>
      <c r="C1081" s="1" t="s">
        <v>2030</v>
      </c>
      <c r="D1081" s="1" t="s">
        <v>4883</v>
      </c>
      <c r="F1081" s="6" t="str">
        <f>HYPERLINK("http://www.athenslibrary.org/oglethorpe")</f>
        <v>http://www.athenslibrary.org/oglethorpe</v>
      </c>
    </row>
    <row r="1082" spans="1:6" ht="15">
      <c r="A1082" s="2" t="s">
        <v>877</v>
      </c>
      <c r="B1082" s="1" t="s">
        <v>878</v>
      </c>
      <c r="C1082" s="1" t="s">
        <v>879</v>
      </c>
      <c r="D1082" s="1" t="s">
        <v>4531</v>
      </c>
      <c r="E1082" s="5" t="str">
        <f>HYPERLINK("mailto:boyda@liveoakpl.org","boyda@liveoakpl.org")</f>
        <v>boyda@liveoakpl.org</v>
      </c>
      <c r="F1082" s="6" t="str">
        <f>HYPERLINK("https://liveoakpl.org/locations/oglethorpe")</f>
        <v>https://liveoakpl.org/locations/oglethorpe</v>
      </c>
    </row>
    <row r="1083" spans="1:6" ht="15">
      <c r="A1083" s="2" t="s">
        <v>2180</v>
      </c>
      <c r="B1083" s="1" t="s">
        <v>2181</v>
      </c>
      <c r="C1083" s="1" t="s">
        <v>2182</v>
      </c>
      <c r="D1083" s="1" t="s">
        <v>4924</v>
      </c>
      <c r="F1083" s="6" t="str">
        <f>HYPERLINK("http://bibblib.org/locations/oglethorpe-public-library/")</f>
        <v>http://bibblib.org/locations/oglethorpe-public-library/</v>
      </c>
    </row>
    <row r="1084" spans="1:6" ht="15">
      <c r="A1084" s="2" t="s">
        <v>1859</v>
      </c>
      <c r="B1084" s="1" t="s">
        <v>1860</v>
      </c>
      <c r="C1084" s="1" t="s">
        <v>1861</v>
      </c>
      <c r="D1084" s="1" t="s">
        <v>4831</v>
      </c>
      <c r="E1084" s="5" t="str">
        <f>HYPERLINK("mailto:epeterson1@oglethorpe.edu","epeterson1@oglethorpe.edu")</f>
        <v>epeterson1@oglethorpe.edu</v>
      </c>
      <c r="F1084" s="6" t="str">
        <f>HYPERLINK("https://museum.oglethorpe.edu/")</f>
        <v>https://museum.oglethorpe.edu/</v>
      </c>
    </row>
    <row r="1085" spans="1:6" ht="15">
      <c r="A1085" s="2" t="s">
        <v>2878</v>
      </c>
      <c r="B1085" s="1" t="s">
        <v>2879</v>
      </c>
      <c r="C1085" s="1" t="s">
        <v>2880</v>
      </c>
      <c r="D1085" s="1" t="s">
        <v>5133</v>
      </c>
      <c r="E1085" s="5" t="str">
        <f>HYPERLINK("mailto:okeheritage@gmail.com","okeheritage@gmail.com")</f>
        <v>okeheritage@gmail.com</v>
      </c>
      <c r="F1085" s="6" t="str">
        <f>HYPERLINK("http://okefenokeeheritagecenter.org/")</f>
        <v>http://okefenokeeheritagecenter.org/</v>
      </c>
    </row>
    <row r="1086" spans="1:6" ht="15">
      <c r="A1086" s="2" t="s">
        <v>1655</v>
      </c>
      <c r="B1086" s="1" t="s">
        <v>1656</v>
      </c>
      <c r="C1086" s="1" t="s">
        <v>1657</v>
      </c>
      <c r="D1086" s="1" t="s">
        <v>4772</v>
      </c>
      <c r="E1086" s="5" t="str">
        <f>HYPERLINK("mailto:okefenokee@fws.gov","okefenokee@fws.gov")</f>
        <v>okefenokee@fws.gov</v>
      </c>
      <c r="F1086" s="6" t="str">
        <f>HYPERLINK("https://www.fws.gov/refuge/okefenokee/")</f>
        <v>https://www.fws.gov/refuge/okefenokee/</v>
      </c>
    </row>
    <row r="1087" spans="1:6" ht="15">
      <c r="A1087" s="2" t="s">
        <v>1658</v>
      </c>
      <c r="B1087" s="1" t="s">
        <v>1659</v>
      </c>
      <c r="C1087" s="1" t="s">
        <v>1660</v>
      </c>
      <c r="D1087" s="1" t="s">
        <v>4773</v>
      </c>
      <c r="E1087" s="5" t="str">
        <f>HYPERLINK("mailto:Okefenokee@btconline.net","Okefenokee@btconline.net")</f>
        <v>Okefenokee@btconline.net</v>
      </c>
      <c r="F1087" s="6" t="str">
        <f>HYPERLINK("http://www.okeswamp.com")</f>
        <v>http://www.okeswamp.com</v>
      </c>
    </row>
    <row r="1088" spans="1:6" ht="30">
      <c r="A1088" s="2" t="s">
        <v>1360</v>
      </c>
      <c r="B1088" s="1" t="s">
        <v>1361</v>
      </c>
      <c r="C1088" s="1" t="s">
        <v>1362</v>
      </c>
      <c r="D1088" s="1" t="s">
        <v>4685</v>
      </c>
      <c r="E1088" s="5" t="str">
        <f>HYPERLINK("mailto:rick@uncleremus.org","rick@uncleremus.org")</f>
        <v>rick@uncleremus.org</v>
      </c>
      <c r="F1088" s="6" t="str">
        <f>HYPERLINK("http://www.azalealibraries.org/member-libraries/okelly-memorial-library/")</f>
        <v>http://www.azalealibraries.org/member-libraries/okelly-memorial-library/</v>
      </c>
    </row>
    <row r="1089" spans="1:6" ht="15">
      <c r="A1089" s="2" t="s">
        <v>2881</v>
      </c>
      <c r="D1089" s="1" t="s">
        <v>5134</v>
      </c>
      <c r="E1089" s="5" t="str">
        <f>HYPERLINK("mailto:askocchs@yahoo.com","askocchs@yahoo.com")</f>
        <v>askocchs@yahoo.com</v>
      </c>
      <c r="F1089" s="6" t="str">
        <f>HYPERLINK("http://www.oldcampbellcounty.com/")</f>
        <v>http://www.oldcampbellcounty.com/</v>
      </c>
    </row>
    <row r="1090" spans="1:8" ht="15">
      <c r="A1090" s="2" t="s">
        <v>112</v>
      </c>
      <c r="B1090" s="1" t="s">
        <v>113</v>
      </c>
      <c r="C1090" s="1" t="s">
        <v>114</v>
      </c>
      <c r="D1090" s="1" t="s">
        <v>4320</v>
      </c>
      <c r="F1090" s="6" t="str">
        <f>HYPERLINK("https://www.oldcarcityusa.com/")</f>
        <v>https://www.oldcarcityusa.com/</v>
      </c>
      <c r="G1090" s="5" t="str">
        <f>HYPERLINK("https://www.facebook.com/OldCarCity")</f>
        <v>https://www.facebook.com/OldCarCity</v>
      </c>
      <c r="H1090" s="5" t="str">
        <f>HYPERLINK("https://twitter.com/OldCarCityUSA")</f>
        <v>https://twitter.com/OldCarCityUSA</v>
      </c>
    </row>
    <row r="1091" spans="1:6" ht="15">
      <c r="A1091" s="2" t="s">
        <v>2882</v>
      </c>
      <c r="B1091" s="1" t="s">
        <v>2883</v>
      </c>
      <c r="C1091" s="1" t="s">
        <v>2884</v>
      </c>
      <c r="D1091" s="1" t="s">
        <v>5135</v>
      </c>
      <c r="E1091" s="5" t="str">
        <f>HYPERLINK("mailto:hamiltonearlene@yahoo.com","hamiltonearlene@yahoo.com")</f>
        <v>hamiltonearlene@yahoo.com</v>
      </c>
      <c r="F1091" s="6" t="str">
        <f>HYPERLINK("http://www.oldclinton.org/")</f>
        <v>http://www.oldclinton.org/</v>
      </c>
    </row>
    <row r="1092" spans="1:6" ht="15">
      <c r="A1092" s="2" t="s">
        <v>1679</v>
      </c>
      <c r="B1092" s="1" t="s">
        <v>1680</v>
      </c>
      <c r="C1092" s="1" t="s">
        <v>1681</v>
      </c>
      <c r="D1092" s="1" t="s">
        <v>4779</v>
      </c>
      <c r="E1092" s="5" t="str">
        <f>HYPERLINK("mailto:admin@chsgeorgia.org","admin@chsgeorgia.org")</f>
        <v>admin@chsgeorgia.org</v>
      </c>
      <c r="F1092" s="6" t="str">
        <f>HYPERLINK("http://www.chsgeorgia.org/OFJ")</f>
        <v>http://www.chsgeorgia.org/OFJ</v>
      </c>
    </row>
    <row r="1093" spans="1:6" ht="15">
      <c r="A1093" s="2" t="s">
        <v>1661</v>
      </c>
      <c r="B1093" s="1" t="s">
        <v>4297</v>
      </c>
      <c r="C1093" s="1" t="s">
        <v>1662</v>
      </c>
      <c r="D1093" s="1" t="s">
        <v>4774</v>
      </c>
      <c r="E1093" s="5" t="str">
        <f>HYPERLINK("mailto:Matt.davis@gcsu.edu","Matt.davis@gcsu.edu")</f>
        <v>Matt.davis@gcsu.edu</v>
      </c>
      <c r="F1093" s="6" t="str">
        <f>HYPERLINK("http://www.gcsu.edu/mansion")</f>
        <v>http://www.gcsu.edu/mansion</v>
      </c>
    </row>
    <row r="1094" spans="1:6" ht="30">
      <c r="A1094" s="2" t="s">
        <v>3580</v>
      </c>
      <c r="B1094" s="1" t="s">
        <v>3581</v>
      </c>
      <c r="C1094" s="1" t="s">
        <v>3582</v>
      </c>
      <c r="D1094" s="1" t="s">
        <v>5323</v>
      </c>
      <c r="F1094" s="6" t="str">
        <f>HYPERLINK("https://www.lamarcountyga.com/resources-information/old-jail-museum/")</f>
        <v>https://www.lamarcountyga.com/resources-information/old-jail-museum/</v>
      </c>
    </row>
    <row r="1095" spans="1:6" ht="15">
      <c r="A1095" s="2" t="s">
        <v>1731</v>
      </c>
      <c r="B1095" s="1" t="s">
        <v>1732</v>
      </c>
      <c r="C1095" s="1" t="s">
        <v>1733</v>
      </c>
      <c r="D1095" s="1" t="s">
        <v>4788</v>
      </c>
      <c r="E1095" s="5" t="str">
        <f>HYPERLINK("mailto:genealogyresearch@att.net","genealogyresearch@att.net")</f>
        <v>genealogyresearch@att.net</v>
      </c>
      <c r="F1095" s="6" t="str">
        <f>HYPERLINK("https://wacohistorical.org/genealogy/")</f>
        <v>https://wacohistorical.org/genealogy/</v>
      </c>
    </row>
    <row r="1096" spans="1:6" ht="15">
      <c r="A1096" s="2" t="s">
        <v>1905</v>
      </c>
      <c r="B1096" s="1" t="s">
        <v>1906</v>
      </c>
      <c r="C1096" s="1" t="s">
        <v>1907</v>
      </c>
      <c r="D1096" s="1" t="s">
        <v>4847</v>
      </c>
      <c r="E1096" s="5" t="str">
        <f>HYPERLINK("mailto:museum@theplazaartscenter.com","museum@theplazaartscenter.com")</f>
        <v>museum@theplazaartscenter.com</v>
      </c>
      <c r="F1096" s="6" t="str">
        <f>HYPERLINK("https://plazacenter.org/about/old-school-history-museum/")</f>
        <v>https://plazacenter.org/about/old-school-history-museum/</v>
      </c>
    </row>
    <row r="1097" spans="1:6" ht="15">
      <c r="A1097" s="2" t="s">
        <v>3766</v>
      </c>
      <c r="B1097" s="1" t="s">
        <v>3767</v>
      </c>
      <c r="C1097" s="1" t="s">
        <v>3768</v>
      </c>
      <c r="D1097" s="1" t="s">
        <v>5368</v>
      </c>
      <c r="E1097" s="5" t="str">
        <f>HYPERLINK("mailto:paulbulloch@oldsouthfarm.com","paulbulloch@oldsouthfarm.com")</f>
        <v>paulbulloch@oldsouthfarm.com</v>
      </c>
      <c r="F1097" s="6" t="str">
        <f>HYPERLINK("http://www.oldsouthfarm.com")</f>
        <v>http://www.oldsouthfarm.com</v>
      </c>
    </row>
    <row r="1098" spans="1:3" ht="15">
      <c r="A1098" s="2" t="s">
        <v>2387</v>
      </c>
      <c r="B1098" s="1" t="s">
        <v>2388</v>
      </c>
      <c r="C1098" s="1" t="s">
        <v>2389</v>
      </c>
    </row>
    <row r="1099" spans="1:6" ht="15">
      <c r="A1099" s="2" t="s">
        <v>1663</v>
      </c>
      <c r="C1099" s="1" t="s">
        <v>1664</v>
      </c>
      <c r="F1099" s="6" t="str">
        <f>HYPERLINK("https://www.omenalagriot.com/")</f>
        <v>https://www.omenalagriot.com/</v>
      </c>
    </row>
    <row r="1100" spans="1:8" ht="15">
      <c r="A1100" s="2" t="s">
        <v>4189</v>
      </c>
      <c r="B1100" s="1" t="s">
        <v>4190</v>
      </c>
      <c r="C1100" s="1" t="s">
        <v>4191</v>
      </c>
      <c r="D1100" s="1" t="s">
        <v>5494</v>
      </c>
      <c r="E1100" s="5" t="str">
        <f>HYPERLINK("mailto:managing.director@onstageatlanta.com","managing.director@onstageatlanta.com")</f>
        <v>managing.director@onstageatlanta.com</v>
      </c>
      <c r="F1100" s="6" t="str">
        <f>HYPERLINK("https://www.onstageatlanta.com/")</f>
        <v>https://www.onstageatlanta.com/</v>
      </c>
      <c r="G1100" s="5" t="str">
        <f>HYPERLINK("https://www.facebook.com/OnstageAtlanta")</f>
        <v>https://www.facebook.com/OnstageAtlanta</v>
      </c>
      <c r="H1100" s="5" t="str">
        <f>HYPERLINK("https://twitter.com/OnstageAtlanta")</f>
        <v>https://twitter.com/OnstageAtlanta</v>
      </c>
    </row>
    <row r="1101" spans="1:6" ht="15">
      <c r="A1101" s="2" t="s">
        <v>314</v>
      </c>
      <c r="B1101" s="1" t="s">
        <v>315</v>
      </c>
      <c r="C1101" s="1" t="s">
        <v>316</v>
      </c>
      <c r="D1101" s="1" t="s">
        <v>4368</v>
      </c>
      <c r="E1101" s="5" t="str">
        <f>HYPERLINK("mailto:info@ossabawisland.org","info@ossabawisland.org")</f>
        <v>info@ossabawisland.org</v>
      </c>
      <c r="F1101" s="6" t="str">
        <f>HYPERLINK("http://ossabawisland.org/")</f>
        <v>http://ossabawisland.org/</v>
      </c>
    </row>
    <row r="1102" spans="1:8" ht="15">
      <c r="A1102" s="2" t="s">
        <v>4192</v>
      </c>
      <c r="B1102" s="1" t="s">
        <v>4193</v>
      </c>
      <c r="C1102" s="1" t="s">
        <v>4194</v>
      </c>
      <c r="D1102" s="1" t="s">
        <v>5495</v>
      </c>
      <c r="E1102" s="5" t="str">
        <f>HYPERLINK("mailto:foundation@otisreddingfoundation.org","foundation@otisreddingfoundation.org")</f>
        <v>foundation@otisreddingfoundation.org</v>
      </c>
      <c r="F1102" s="6" t="str">
        <f>HYPERLINK("https://otisreddingfoundation.org/")</f>
        <v>https://otisreddingfoundation.org/</v>
      </c>
      <c r="G1102" s="5" t="str">
        <f>HYPERLINK("https://www.facebook.com/OtisReddingFoundation")</f>
        <v>https://www.facebook.com/OtisReddingFoundation</v>
      </c>
      <c r="H1102" s="5" t="str">
        <f>HYPERLINK("https://twitter.com/OtisReddingFd")</f>
        <v>https://twitter.com/OtisReddingFd</v>
      </c>
    </row>
    <row r="1103" spans="1:8" ht="15">
      <c r="A1103" s="2" t="s">
        <v>4195</v>
      </c>
      <c r="B1103" s="1" t="s">
        <v>4196</v>
      </c>
      <c r="C1103" s="1" t="s">
        <v>4197</v>
      </c>
      <c r="D1103" s="1" t="s">
        <v>5496</v>
      </c>
      <c r="E1103" s="5" t="str">
        <f>HYPERLINK("mailto:boxoffice@outfronttheatre.com","boxoffice@outfronttheatre.com")</f>
        <v>boxoffice@outfronttheatre.com</v>
      </c>
      <c r="F1103" s="6" t="str">
        <f>HYPERLINK("http://outfronttheatre.com")</f>
        <v>http://outfronttheatre.com</v>
      </c>
      <c r="G1103" s="5" t="str">
        <f>HYPERLINK("https://www.facebook.com/outfronttheatre")</f>
        <v>https://www.facebook.com/outfronttheatre</v>
      </c>
      <c r="H1103" s="5" t="str">
        <f>HYPERLINK("https://twitter.com/OutFrontTheatre")</f>
        <v>https://twitter.com/OutFrontTheatre</v>
      </c>
    </row>
    <row r="1104" spans="1:6" ht="15">
      <c r="A1104" s="2" t="s">
        <v>3913</v>
      </c>
      <c r="B1104" s="1" t="s">
        <v>3914</v>
      </c>
      <c r="C1104" s="1" t="s">
        <v>3915</v>
      </c>
      <c r="D1104" s="1" t="s">
        <v>5401</v>
      </c>
      <c r="E1104" s="5" t="str">
        <f>HYPERLINK("mailto:owenslib@uga.edu","owenslib@uga.edu")</f>
        <v>owenslib@uga.edu</v>
      </c>
      <c r="F1104" s="6" t="str">
        <f>HYPERLINK("https://www.libs.uga.edu/locations/owens")</f>
        <v>https://www.libs.uga.edu/locations/owens</v>
      </c>
    </row>
    <row r="1105" spans="1:6" ht="15">
      <c r="A1105" s="2" t="s">
        <v>1931</v>
      </c>
      <c r="B1105" s="1" t="s">
        <v>1932</v>
      </c>
      <c r="C1105" s="1" t="s">
        <v>1933</v>
      </c>
      <c r="D1105" s="1" t="s">
        <v>4353</v>
      </c>
      <c r="F1105" s="6" t="str">
        <f>HYPERLINK("https://www.telfair.org/visit/owens-thomas/")</f>
        <v>https://www.telfair.org/visit/owens-thomas/</v>
      </c>
    </row>
    <row r="1106" spans="1:6" ht="15">
      <c r="A1106" s="2" t="s">
        <v>3639</v>
      </c>
      <c r="B1106" s="1" t="s">
        <v>3640</v>
      </c>
      <c r="C1106" s="1" t="s">
        <v>3641</v>
      </c>
      <c r="D1106" s="1" t="s">
        <v>5339</v>
      </c>
      <c r="E1106" s="5" t="str">
        <f>HYPERLINK("mailto:oxbowmeadows@columbusstate.edu","oxbowmeadows@columbusstate.edu")</f>
        <v>oxbowmeadows@columbusstate.edu</v>
      </c>
      <c r="F1106" s="6" t="str">
        <f>HYPERLINK("https://oxbow.columbusstate.edu/")</f>
        <v>https://oxbow.columbusstate.edu/</v>
      </c>
    </row>
    <row r="1107" spans="1:6" ht="15">
      <c r="A1107" s="2" t="s">
        <v>2888</v>
      </c>
      <c r="B1107" s="1" t="s">
        <v>2889</v>
      </c>
      <c r="C1107" s="1" t="s">
        <v>2890</v>
      </c>
      <c r="D1107" s="1" t="s">
        <v>5136</v>
      </c>
      <c r="F1107" s="6" t="str">
        <f>HYPERLINK("http://oxford.library.emory.edu/index.html")</f>
        <v>http://oxford.library.emory.edu/index.html</v>
      </c>
    </row>
    <row r="1108" spans="1:6" ht="15">
      <c r="A1108" s="2" t="s">
        <v>2891</v>
      </c>
      <c r="E1108" s="5" t="str">
        <f>HYPERLINK("mailto:lldorward@gmail.com","lldorward@gmail.com")</f>
        <v>lldorward@gmail.com</v>
      </c>
      <c r="F1108" s="6" t="str">
        <f>HYPERLINK("http://www.oxfordhistoricalsociety.org/")</f>
        <v>http://www.oxfordhistoricalsociety.org/</v>
      </c>
    </row>
    <row r="1109" spans="1:6" ht="30">
      <c r="A1109" s="2" t="s">
        <v>3258</v>
      </c>
      <c r="B1109" s="1" t="s">
        <v>2893</v>
      </c>
      <c r="C1109" s="1" t="s">
        <v>2894</v>
      </c>
      <c r="D1109" s="1" t="s">
        <v>5137</v>
      </c>
      <c r="F1109" s="6" t="str">
        <f>HYPERLINK("https://paine.edu/web/academics/library/p.-randolph-shy-special-collection")</f>
        <v>https://paine.edu/web/academics/library/p.-randolph-shy-special-collection</v>
      </c>
    </row>
    <row r="1110" spans="1:8" ht="15">
      <c r="A1110" s="2" t="s">
        <v>4198</v>
      </c>
      <c r="B1110" s="1" t="s">
        <v>4199</v>
      </c>
      <c r="C1110" s="1" t="s">
        <v>4200</v>
      </c>
      <c r="D1110" s="1" t="s">
        <v>5497</v>
      </c>
      <c r="E1110" s="5" t="str">
        <f>HYPERLINK("mailto:info@gopaintlove.org","info@gopaintlove.org")</f>
        <v>info@gopaintlove.org</v>
      </c>
      <c r="F1110" s="6" t="str">
        <f>HYPERLINK("https://www.gopaintlove.org/")</f>
        <v>https://www.gopaintlove.org/</v>
      </c>
      <c r="G1110" s="5" t="str">
        <f>HYPERLINK("https://www.facebook.com/gopaintlove")</f>
        <v>https://www.facebook.com/gopaintlove</v>
      </c>
      <c r="H1110" s="5" t="str">
        <f>HYPERLINK("https://twitter.com/gopaintlove")</f>
        <v>https://twitter.com/gopaintlove</v>
      </c>
    </row>
    <row r="1111" spans="1:6" ht="15">
      <c r="A1111" s="2" t="s">
        <v>1201</v>
      </c>
      <c r="B1111" s="1" t="s">
        <v>1202</v>
      </c>
      <c r="C1111" s="1" t="s">
        <v>1203</v>
      </c>
      <c r="D1111" s="1" t="s">
        <v>4637</v>
      </c>
      <c r="F1111" s="6" t="str">
        <f>HYPERLINK("http://afpls.org/palmetto-branch")</f>
        <v>http://afpls.org/palmetto-branch</v>
      </c>
    </row>
    <row r="1112" spans="1:6" ht="15">
      <c r="A1112" s="2" t="s">
        <v>2058</v>
      </c>
      <c r="B1112" s="1" t="s">
        <v>2059</v>
      </c>
      <c r="C1112" s="1" t="s">
        <v>2060</v>
      </c>
      <c r="D1112" s="1" t="s">
        <v>4894</v>
      </c>
      <c r="F1112" s="6" t="str">
        <f>HYPERLINK("https://www.cvlga.org/parks-memorial-public-library/")</f>
        <v>https://www.cvlga.org/parks-memorial-public-library/</v>
      </c>
    </row>
    <row r="1113" spans="1:6" ht="15">
      <c r="A1113" s="2" t="s">
        <v>3772</v>
      </c>
      <c r="B1113" s="1" t="s">
        <v>3773</v>
      </c>
      <c r="C1113" s="1" t="s">
        <v>3774</v>
      </c>
      <c r="F1113" s="6" t="str">
        <f>HYPERLINK("https://www.pasaquanpreservation.com/")</f>
        <v>https://www.pasaquanpreservation.com/</v>
      </c>
    </row>
    <row r="1114" spans="1:7" ht="15">
      <c r="A1114" s="2" t="s">
        <v>1992</v>
      </c>
      <c r="B1114" s="1" t="s">
        <v>1993</v>
      </c>
      <c r="C1114" s="1" t="s">
        <v>1994</v>
      </c>
      <c r="D1114" s="1" t="s">
        <v>4872</v>
      </c>
      <c r="E1114" s="5" t="str">
        <f>HYPERLINK("mailto:info@thepatchworks.org","info@thepatchworks.org")</f>
        <v>info@thepatchworks.org</v>
      </c>
      <c r="F1114" s="6" t="str">
        <f>HYPERLINK("https://thepatchworks.org")</f>
        <v>https://thepatchworks.org</v>
      </c>
      <c r="G1114" s="5" t="str">
        <f>HYPERLINK("https://www.facebook.com/thepatchworkscabbagetown")</f>
        <v>https://www.facebook.com/thepatchworkscabbagetown</v>
      </c>
    </row>
    <row r="1115" spans="1:3" ht="15">
      <c r="A1115" s="2" t="s">
        <v>3775</v>
      </c>
      <c r="B1115" s="1" t="s">
        <v>2776</v>
      </c>
      <c r="C1115" s="1" t="s">
        <v>3776</v>
      </c>
    </row>
    <row r="1116" spans="1:6" ht="15">
      <c r="A1116" s="2" t="s">
        <v>3898</v>
      </c>
      <c r="E1116" s="5" t="str">
        <f>HYPERLINK("mailto:info@pauldingroots.org","info@pauldingroots.org")</f>
        <v>info@pauldingroots.org</v>
      </c>
      <c r="F1116" s="6" t="str">
        <f>HYPERLINK("http://www.pauldingroots.org/")</f>
        <v>http://www.pauldingroots.org/</v>
      </c>
    </row>
    <row r="1117" spans="1:6" ht="15">
      <c r="A1117" s="2" t="s">
        <v>2895</v>
      </c>
      <c r="B1117" s="1" t="s">
        <v>2896</v>
      </c>
      <c r="C1117" s="1" t="s">
        <v>2897</v>
      </c>
      <c r="D1117" s="1" t="s">
        <v>5138</v>
      </c>
      <c r="E1117" s="5" t="str">
        <f>HYPERLINK("mailto:pchsminc@gmail.com","pchsminc@gmail.com")</f>
        <v>pchsminc@gmail.com</v>
      </c>
      <c r="F1117" s="6" t="str">
        <f>HYPERLINK("https://sites.google.com/site/pchistoryorg2/")</f>
        <v>https://sites.google.com/site/pchistoryorg2/</v>
      </c>
    </row>
    <row r="1118" spans="1:6" ht="15">
      <c r="A1118" s="2" t="s">
        <v>841</v>
      </c>
      <c r="B1118" s="1" t="s">
        <v>842</v>
      </c>
      <c r="C1118" s="1" t="s">
        <v>843</v>
      </c>
      <c r="D1118" s="1" t="s">
        <v>4519</v>
      </c>
      <c r="F1118" s="6" t="str">
        <f>HYPERLINK("http://www.wgrls.org/visit/dallas/")</f>
        <v>http://www.wgrls.org/visit/dallas/</v>
      </c>
    </row>
    <row r="1119" spans="1:6" ht="15">
      <c r="A1119" s="2" t="s">
        <v>1468</v>
      </c>
      <c r="B1119" s="1" t="s">
        <v>1469</v>
      </c>
      <c r="C1119" s="1" t="s">
        <v>1470</v>
      </c>
      <c r="D1119" s="1" t="s">
        <v>4720</v>
      </c>
      <c r="F1119" s="6" t="str">
        <f>HYPERLINK("http://tcpls.org/locations-hours")</f>
        <v>http://tcpls.org/locations-hours</v>
      </c>
    </row>
    <row r="1120" spans="1:7" ht="15">
      <c r="A1120" s="2" t="s">
        <v>3777</v>
      </c>
      <c r="B1120" s="1" t="s">
        <v>3778</v>
      </c>
      <c r="C1120" s="1" t="s">
        <v>3779</v>
      </c>
      <c r="D1120" s="1" t="s">
        <v>5370</v>
      </c>
      <c r="E1120" s="5" t="str">
        <f>HYPERLINK("mailto:peachcountyhistoricalsociety@outlook.com","peachcountyhistoricalsociety@outlook.com")</f>
        <v>peachcountyhistoricalsociety@outlook.com</v>
      </c>
      <c r="G1120" s="5" t="str">
        <f>HYPERLINK("https://www.facebook.com/Peach-CountyFort-Valley-Historical-Society-2298937966843203")</f>
        <v>https://www.facebook.com/Peach-CountyFort-Valley-Historical-Society-2298937966843203</v>
      </c>
    </row>
    <row r="1121" spans="1:6" ht="15">
      <c r="A1121" s="2" t="s">
        <v>1162</v>
      </c>
      <c r="B1121" s="1" t="s">
        <v>1163</v>
      </c>
      <c r="C1121" s="1" t="s">
        <v>1164</v>
      </c>
      <c r="D1121" s="1" t="s">
        <v>4624</v>
      </c>
      <c r="F1121" s="6" t="str">
        <f>HYPERLINK("http://afpls.org/peachtree-branch6")</f>
        <v>http://afpls.org/peachtree-branch6</v>
      </c>
    </row>
    <row r="1122" spans="1:6" ht="15">
      <c r="A1122" s="2" t="s">
        <v>1435</v>
      </c>
      <c r="B1122" s="1" t="s">
        <v>1436</v>
      </c>
      <c r="C1122" s="1" t="s">
        <v>1437</v>
      </c>
      <c r="D1122" s="1" t="s">
        <v>4709</v>
      </c>
      <c r="F1122" s="6" t="str">
        <f>HYPERLINK("https://peachtree-city.org/125/Library")</f>
        <v>https://peachtree-city.org/125/Library</v>
      </c>
    </row>
    <row r="1123" spans="1:6" ht="15">
      <c r="A1123" s="2" t="s">
        <v>1225</v>
      </c>
      <c r="B1123" s="1" t="s">
        <v>1226</v>
      </c>
      <c r="C1123" s="1" t="s">
        <v>1227</v>
      </c>
      <c r="D1123" s="1" t="s">
        <v>4645</v>
      </c>
      <c r="F1123" s="6" t="str">
        <f>HYPERLINK("https://www.gwinnettpl.org/locations-and-hours/")</f>
        <v>https://www.gwinnettpl.org/locations-and-hours/</v>
      </c>
    </row>
    <row r="1124" spans="1:6" ht="15">
      <c r="A1124" s="2" t="s">
        <v>994</v>
      </c>
      <c r="B1124" s="1" t="s">
        <v>995</v>
      </c>
      <c r="C1124" s="1" t="s">
        <v>996</v>
      </c>
      <c r="D1124" s="1" t="s">
        <v>4570</v>
      </c>
      <c r="E1124" s="5" t="str">
        <f>HYPERLINK("mailto:pearlib@srlsys.org","pearlib@srlsys.org")</f>
        <v>pearlib@srlsys.org</v>
      </c>
      <c r="F1124" s="6" t="str">
        <f>HYPERLINK("http://srlsys.org/pearson-public-library/")</f>
        <v>http://srlsys.org/pearson-public-library/</v>
      </c>
    </row>
    <row r="1125" spans="1:6" ht="15">
      <c r="A1125" s="2" t="s">
        <v>1665</v>
      </c>
      <c r="B1125" s="1" t="s">
        <v>1666</v>
      </c>
      <c r="C1125" s="1" t="s">
        <v>1667</v>
      </c>
      <c r="D1125" s="1" t="s">
        <v>4775</v>
      </c>
      <c r="E1125" s="5" t="str">
        <f>HYPERLINK("mailto:kspivey@pebblehill.com","kspivey@pebblehill.com")</f>
        <v>kspivey@pebblehill.com</v>
      </c>
      <c r="F1125" s="6" t="str">
        <f>HYPERLINK("http://www.pebblehill.com")</f>
        <v>http://www.pebblehill.com</v>
      </c>
    </row>
    <row r="1126" spans="1:6" ht="15">
      <c r="A1126" s="2" t="s">
        <v>1342</v>
      </c>
      <c r="B1126" s="1" t="s">
        <v>1343</v>
      </c>
      <c r="C1126" s="1" t="s">
        <v>1344</v>
      </c>
      <c r="D1126" s="1" t="s">
        <v>4679</v>
      </c>
      <c r="F1126" s="6" t="str">
        <f>HYPERLINK("http://www.desototrail.org/pelham-carnegie-library.html")</f>
        <v>http://www.desototrail.org/pelham-carnegie-library.html</v>
      </c>
    </row>
    <row r="1127" spans="1:7" ht="15">
      <c r="A1127" s="2" t="s">
        <v>2226</v>
      </c>
      <c r="B1127" s="1" t="s">
        <v>2227</v>
      </c>
      <c r="C1127" s="1" t="s">
        <v>2228</v>
      </c>
      <c r="D1127" s="1" t="s">
        <v>4939</v>
      </c>
      <c r="E1127" s="5" t="str">
        <f>HYPERLINK("mailto:pemb@strl.info","pemb@strl.info")</f>
        <v>pemb@strl.info</v>
      </c>
      <c r="F1127" s="6" t="str">
        <f>HYPERLINK("https://strl.info/pembroke-public-library/")</f>
        <v>https://strl.info/pembroke-public-library/</v>
      </c>
      <c r="G1127" s="5" t="str">
        <f>HYPERLINK("https://www.facebook.com/pembrokelibrary")</f>
        <v>https://www.facebook.com/pembrokelibrary</v>
      </c>
    </row>
    <row r="1128" spans="1:6" ht="15">
      <c r="A1128" s="2" t="s">
        <v>4201</v>
      </c>
      <c r="B1128" s="1" t="s">
        <v>4202</v>
      </c>
      <c r="C1128" s="1" t="s">
        <v>4203</v>
      </c>
      <c r="D1128" s="1" t="s">
        <v>5498</v>
      </c>
      <c r="E1128" s="5" t="str">
        <f>HYPERLINK("mailto:performingartsalliancepaa@yahoo.com","performingartsalliancepaa@yahoo.com")</f>
        <v>performingartsalliancepaa@yahoo.com</v>
      </c>
      <c r="F1128" s="6" t="str">
        <f>HYPERLINK("https://rickeyedmond.wixsite.com/paaofmaconcountyinc")</f>
        <v>https://rickeyedmond.wixsite.com/paaofmaconcountyinc</v>
      </c>
    </row>
    <row r="1129" spans="1:8" ht="15">
      <c r="A1129" s="2" t="s">
        <v>3515</v>
      </c>
      <c r="B1129" s="1" t="s">
        <v>3516</v>
      </c>
      <c r="E1129" s="5" t="str">
        <f>HYPERLINK("mailto:PAR@lyrasis.org","PAR@lyrasis.org")</f>
        <v>PAR@lyrasis.org</v>
      </c>
      <c r="F1129" s="6" t="str">
        <f>HYPERLINK("https://performingartsreadiness.org/")</f>
        <v>https://performingartsreadiness.org/</v>
      </c>
      <c r="G1129" s="5" t="str">
        <f>HYPERLINK("https://www.facebook.com/PerformingArtsReadiness")</f>
        <v>https://www.facebook.com/PerformingArtsReadiness</v>
      </c>
      <c r="H1129" s="5" t="str">
        <f>HYPERLINK("https://twitter.com/PAReadiness")</f>
        <v>https://twitter.com/PAReadiness</v>
      </c>
    </row>
    <row r="1130" spans="1:6" ht="15">
      <c r="A1130" s="2" t="s">
        <v>3784</v>
      </c>
      <c r="B1130" s="1" t="s">
        <v>3785</v>
      </c>
      <c r="C1130" s="1" t="s">
        <v>3786</v>
      </c>
      <c r="D1130" s="1" t="s">
        <v>5372</v>
      </c>
      <c r="E1130" s="5" t="str">
        <f>HYPERLINK("mailto:info@perryhistoricalsociety.org","info@perryhistoricalsociety.org")</f>
        <v>info@perryhistoricalsociety.org</v>
      </c>
      <c r="F1130" s="6" t="str">
        <f>HYPERLINK("http://www.perryhistoricalsociety.org/")</f>
        <v>http://www.perryhistoricalsociety.org/</v>
      </c>
    </row>
    <row r="1131" spans="1:6" ht="15">
      <c r="A1131" s="2" t="s">
        <v>2129</v>
      </c>
      <c r="B1131" s="1" t="s">
        <v>2130</v>
      </c>
      <c r="C1131" s="1" t="s">
        <v>2131</v>
      </c>
      <c r="D1131" s="1" t="s">
        <v>4907</v>
      </c>
      <c r="F1131" s="6" t="str">
        <f>HYPERLINK("https://houpl.org/?page_id=11")</f>
        <v>https://houpl.org/?page_id=11</v>
      </c>
    </row>
    <row r="1132" spans="1:3" ht="15">
      <c r="A1132" s="2" t="s">
        <v>49</v>
      </c>
      <c r="B1132" s="1" t="s">
        <v>50</v>
      </c>
      <c r="C1132" s="1" t="s">
        <v>51</v>
      </c>
    </row>
    <row r="1133" spans="1:6" ht="15">
      <c r="A1133" s="2" t="s">
        <v>2875</v>
      </c>
      <c r="B1133" s="1" t="s">
        <v>2876</v>
      </c>
      <c r="C1133" s="1" t="s">
        <v>2877</v>
      </c>
      <c r="D1133" s="1" t="s">
        <v>5132</v>
      </c>
      <c r="E1133" s="5" t="str">
        <f>HYPERLINK("mailto:librarian@oglethorpe.edu","librarian@oglethorpe.edu")</f>
        <v>librarian@oglethorpe.edu</v>
      </c>
      <c r="F1133" s="6" t="str">
        <f>HYPERLINK("https://library.oglethorpe.edu/")</f>
        <v>https://library.oglethorpe.edu/</v>
      </c>
    </row>
    <row r="1134" spans="1:8" ht="15">
      <c r="A1134" s="2" t="s">
        <v>284</v>
      </c>
      <c r="B1134" s="1" t="s">
        <v>285</v>
      </c>
      <c r="C1134" s="1" t="s">
        <v>286</v>
      </c>
      <c r="D1134" s="1" t="s">
        <v>4360</v>
      </c>
      <c r="E1134" s="5" t="str">
        <f>HYPERLINK("mailto:contact@pianosforpeace.org","contact@pianosforpeace.org")</f>
        <v>contact@pianosforpeace.org</v>
      </c>
      <c r="F1134" s="6" t="str">
        <f>HYPERLINK("https://pianosforpeace.org/")</f>
        <v>https://pianosforpeace.org/</v>
      </c>
      <c r="G1134" s="5" t="str">
        <f>HYPERLINK("https://www.facebook.com/pianos4peace")</f>
        <v>https://www.facebook.com/pianos4peace</v>
      </c>
      <c r="H1134" s="5" t="str">
        <f>HYPERLINK("https://twitter.com/PianosForPeace")</f>
        <v>https://twitter.com/PianosForPeace</v>
      </c>
    </row>
    <row r="1135" spans="1:6" ht="15">
      <c r="A1135" s="2" t="s">
        <v>898</v>
      </c>
      <c r="B1135" s="1" t="s">
        <v>899</v>
      </c>
      <c r="C1135" s="1" t="s">
        <v>900</v>
      </c>
      <c r="D1135" s="1" t="s">
        <v>4538</v>
      </c>
      <c r="E1135" s="5" t="str">
        <f>HYPERLINK("mailto:inglee@seqlib.org","inglee@seqlib.org")</f>
        <v>inglee@seqlib.org</v>
      </c>
      <c r="F1135" s="6" t="str">
        <f>HYPERLINK("https://www.sequoyahregionallibrary.org/pickens/")</f>
        <v>https://www.sequoyahregionallibrary.org/pickens/</v>
      </c>
    </row>
    <row r="1136" spans="1:6" ht="15">
      <c r="A1136" s="2" t="s">
        <v>183</v>
      </c>
      <c r="B1136" s="1" t="s">
        <v>184</v>
      </c>
      <c r="C1136" s="1" t="s">
        <v>185</v>
      </c>
      <c r="D1136" s="1" t="s">
        <v>4338</v>
      </c>
      <c r="F1136" s="6" t="str">
        <f>HYPERLINK("https://gastateparks.org/PickettsMillBattlefield")</f>
        <v>https://gastateparks.org/PickettsMillBattlefield</v>
      </c>
    </row>
    <row r="1137" spans="1:7" ht="15">
      <c r="A1137" s="2" t="s">
        <v>2901</v>
      </c>
      <c r="B1137" s="1" t="s">
        <v>2902</v>
      </c>
      <c r="C1137" s="1" t="s">
        <v>2903</v>
      </c>
      <c r="F1137" s="6" t="str">
        <f>HYPERLINK("http://www.50megs.com/piercecounty")</f>
        <v>http://www.50megs.com/piercecounty</v>
      </c>
      <c r="G1137" s="5" t="str">
        <f>HYPERLINK("https://www.facebook.com/PierceCountyGaHistoricalGenealogicalSociety")</f>
        <v>https://www.facebook.com/PierceCountyGaHistoricalGenealogicalSociety</v>
      </c>
    </row>
    <row r="1138" spans="1:6" ht="15">
      <c r="A1138" s="2" t="s">
        <v>1561</v>
      </c>
      <c r="B1138" s="1" t="s">
        <v>1562</v>
      </c>
      <c r="C1138" s="1" t="s">
        <v>1563</v>
      </c>
      <c r="D1138" s="1" t="s">
        <v>4751</v>
      </c>
      <c r="F1138" s="6" t="str">
        <f>HYPERLINK("https://okrls.org/pierce/")</f>
        <v>https://okrls.org/pierce/</v>
      </c>
    </row>
    <row r="1139" spans="1:7" ht="15">
      <c r="A1139" s="2" t="s">
        <v>3787</v>
      </c>
      <c r="G1139" s="5" t="str">
        <f>HYPERLINK("https://www.facebook.com/164655533910694")</f>
        <v>https://www.facebook.com/164655533910694</v>
      </c>
    </row>
    <row r="1140" spans="1:6" ht="30">
      <c r="A1140" s="2" t="s">
        <v>3788</v>
      </c>
      <c r="B1140" s="1" t="s">
        <v>3789</v>
      </c>
      <c r="C1140" s="1" t="s">
        <v>3790</v>
      </c>
      <c r="D1140" s="1" t="s">
        <v>5373</v>
      </c>
      <c r="E1140" s="5" t="str">
        <f>HYPERLINK("mailto:pikepreservation@gmail.com","pikepreservation@gmail.com")</f>
        <v>pikepreservation@gmail.com</v>
      </c>
      <c r="F1140" s="6" t="str">
        <f>HYPERLINK("http://www.pikecountygachamber.com/list/member/pike-historic-preservation-134")</f>
        <v>http://www.pikecountygachamber.com/list/member/pike-historic-preservation-134</v>
      </c>
    </row>
    <row r="1141" spans="1:6" ht="15">
      <c r="A1141" s="2" t="s">
        <v>1682</v>
      </c>
      <c r="B1141" s="1" t="s">
        <v>1683</v>
      </c>
      <c r="C1141" s="1" t="s">
        <v>1684</v>
      </c>
      <c r="D1141" s="1" t="s">
        <v>4780</v>
      </c>
      <c r="E1141" s="5" t="str">
        <f>HYPERLINK("mailto:admin@chsgeorgia.org","admin@chsgeorgia.org")</f>
        <v>admin@chsgeorgia.org</v>
      </c>
      <c r="F1141" s="6" t="str">
        <f>HYPERLINK("http://www.chsgeorgia.org/PHM")</f>
        <v>http://www.chsgeorgia.org/PHM</v>
      </c>
    </row>
    <row r="1142" spans="1:6" ht="15">
      <c r="A1142" s="2" t="s">
        <v>2904</v>
      </c>
      <c r="B1142" s="1" t="s">
        <v>2905</v>
      </c>
      <c r="C1142" s="1" t="s">
        <v>2906</v>
      </c>
      <c r="D1142" s="1" t="s">
        <v>5140</v>
      </c>
      <c r="E1142" s="5" t="str">
        <f>HYPERLINK("mailto:wberninger@villarica.org","wberninger@villarica.org")</f>
        <v>wberninger@villarica.org</v>
      </c>
      <c r="F1142" s="6" t="str">
        <f>HYPERLINK("http://www.pinemountaingoldmuseum.com/")</f>
        <v>http://www.pinemountaingoldmuseum.com/</v>
      </c>
    </row>
    <row r="1143" spans="1:6" ht="15">
      <c r="A1143" s="2" t="s">
        <v>931</v>
      </c>
      <c r="B1143" s="1" t="s">
        <v>932</v>
      </c>
      <c r="C1143" s="1" t="s">
        <v>933</v>
      </c>
      <c r="D1143" s="1" t="s">
        <v>4549</v>
      </c>
      <c r="F1143" s="6" t="str">
        <f>HYPERLINK("http://www.athenslibrary.org/pinewoods")</f>
        <v>http://www.athenslibrary.org/pinewoods</v>
      </c>
    </row>
    <row r="1144" spans="1:7" ht="15">
      <c r="A1144" s="2" t="s">
        <v>2907</v>
      </c>
      <c r="E1144" s="5" t="str">
        <f>HYPERLINK("mailto:pahstelfair@yahoo.com","pahstelfair@yahoo.com")</f>
        <v>pahstelfair@yahoo.com</v>
      </c>
      <c r="F1144" s="6" t="str">
        <f>HYPERLINK("https://www.phshistory.org/")</f>
        <v>https://www.phshistory.org/</v>
      </c>
      <c r="G1144" s="5" t="str">
        <f>HYPERLINK("https://www.facebook.com/phshis15")</f>
        <v>https://www.facebook.com/phshis15</v>
      </c>
    </row>
    <row r="1145" spans="1:7" ht="15">
      <c r="A1145" s="2" t="s">
        <v>2423</v>
      </c>
      <c r="B1145" s="1" t="s">
        <v>2424</v>
      </c>
      <c r="C1145" s="1" t="s">
        <v>2425</v>
      </c>
      <c r="D1145" s="1" t="s">
        <v>4990</v>
      </c>
      <c r="E1145" s="5" t="str">
        <f>HYPERLINK("mailto:Pittslibrary@andrewcollege.edu","Pittslibrary@andrewcollege.edu")</f>
        <v>Pittslibrary@andrewcollege.edu</v>
      </c>
      <c r="F1145" s="6" t="str">
        <f>HYPERLINK("https://www.andrewcollege.edu/pitts-library/")</f>
        <v>https://www.andrewcollege.edu/pitts-library/</v>
      </c>
      <c r="G1145" s="5" t="str">
        <f>HYPERLINK("https://www.facebook.com/pittslibrary")</f>
        <v>https://www.facebook.com/pittslibrary</v>
      </c>
    </row>
    <row r="1146" spans="1:6" ht="15">
      <c r="A1146" s="2" t="s">
        <v>373</v>
      </c>
      <c r="B1146" s="1" t="s">
        <v>374</v>
      </c>
      <c r="C1146" s="1" t="s">
        <v>375</v>
      </c>
      <c r="D1146" s="1" t="s">
        <v>4384</v>
      </c>
      <c r="E1146" s="5" t="str">
        <f>HYPERLINK("mailto:theologyref@emory.edu","theologyref@emory.edu")</f>
        <v>theologyref@emory.edu</v>
      </c>
      <c r="F1146" s="6" t="str">
        <f>HYPERLINK("http://www.pitts.emory.edu/")</f>
        <v>http://www.pitts.emory.edu/</v>
      </c>
    </row>
    <row r="1147" spans="1:3" ht="15">
      <c r="A1147" s="2" t="s">
        <v>1668</v>
      </c>
      <c r="C1147" s="1" t="s">
        <v>1669</v>
      </c>
    </row>
    <row r="1148" spans="1:6" ht="15">
      <c r="A1148" s="2" t="s">
        <v>3259</v>
      </c>
      <c r="B1148" s="1" t="s">
        <v>3260</v>
      </c>
      <c r="C1148" s="1" t="s">
        <v>3261</v>
      </c>
      <c r="D1148" s="1" t="s">
        <v>5237</v>
      </c>
      <c r="E1148" s="5" t="str">
        <f>HYPERLINK("mailto:Michael.Bain@point.edu","Michael.Bain@point.edu")</f>
        <v>Michael.Bain@point.edu</v>
      </c>
      <c r="F1148" s="6" t="str">
        <f>HYPERLINK("http://intranet.point.edu/library/")</f>
        <v>http://intranet.point.edu/library/</v>
      </c>
    </row>
    <row r="1149" spans="1:6" ht="15">
      <c r="A1149" s="2" t="s">
        <v>3132</v>
      </c>
      <c r="B1149" s="1" t="s">
        <v>3133</v>
      </c>
      <c r="C1149" s="1" t="s">
        <v>3134</v>
      </c>
      <c r="D1149" s="1" t="s">
        <v>5200</v>
      </c>
      <c r="E1149" s="5" t="str">
        <f>HYPERLINK("mailto:pchsmuseum@outlook.com","pchsmuseum@outlook.com")</f>
        <v>pchsmuseum@outlook.com</v>
      </c>
      <c r="F1149" s="6" t="str">
        <f>HYPERLINK("https://polkhist.com/about-us/")</f>
        <v>https://polkhist.com/about-us/</v>
      </c>
    </row>
    <row r="1150" spans="1:6" ht="15">
      <c r="A1150" s="2" t="s">
        <v>1865</v>
      </c>
      <c r="B1150" s="1" t="s">
        <v>1866</v>
      </c>
      <c r="C1150" s="1" t="s">
        <v>1867</v>
      </c>
      <c r="D1150" s="1" t="s">
        <v>4833</v>
      </c>
      <c r="E1150" s="5" t="str">
        <f>HYPERLINK("mailto:pchsmuseum@outlook.com","pchsmuseum@outlook.com")</f>
        <v>pchsmuseum@outlook.com</v>
      </c>
      <c r="F1150" s="6" t="str">
        <f>HYPERLINK("https://polkhist.com")</f>
        <v>https://polkhist.com</v>
      </c>
    </row>
    <row r="1151" spans="1:6" ht="15">
      <c r="A1151" s="2" t="s">
        <v>1165</v>
      </c>
      <c r="B1151" s="1" t="s">
        <v>1166</v>
      </c>
      <c r="C1151" s="1" t="s">
        <v>1167</v>
      </c>
      <c r="D1151" s="1" t="s">
        <v>4625</v>
      </c>
      <c r="F1151" s="6" t="str">
        <f>HYPERLINK("http://afpls.org/ponce-branch6")</f>
        <v>http://afpls.org/ponce-branch6</v>
      </c>
    </row>
    <row r="1152" spans="1:6" ht="15">
      <c r="A1152" s="2" t="s">
        <v>3974</v>
      </c>
      <c r="B1152" s="1" t="s">
        <v>3975</v>
      </c>
      <c r="C1152" s="1" t="s">
        <v>3976</v>
      </c>
      <c r="D1152" s="1" t="s">
        <v>5414</v>
      </c>
      <c r="E1152" s="5" t="str">
        <f>HYPERLINK("mailto:rbyrd@pooler-ga.gov","rbyrd@pooler-ga.gov")</f>
        <v>rbyrd@pooler-ga.gov</v>
      </c>
      <c r="F1152" s="6" t="str">
        <f>HYPERLINK("https://www.pooler-ga.gov/")</f>
        <v>https://www.pooler-ga.gov/</v>
      </c>
    </row>
    <row r="1153" spans="1:6" ht="15">
      <c r="A1153" s="2" t="s">
        <v>2159</v>
      </c>
      <c r="B1153" s="1" t="s">
        <v>2160</v>
      </c>
      <c r="C1153" s="1" t="s">
        <v>2161</v>
      </c>
      <c r="D1153" s="1" t="s">
        <v>4917</v>
      </c>
      <c r="E1153" s="5" t="str">
        <f>HYPERLINK("mailto:taylorpackj@liveoakpl.org","taylorpackj@liveoakpl.org")</f>
        <v>taylorpackj@liveoakpl.org</v>
      </c>
      <c r="F1153" s="6" t="str">
        <f>HYPERLINK("https://liveoakpl.org/locations/pooler")</f>
        <v>https://liveoakpl.org/locations/pooler</v>
      </c>
    </row>
    <row r="1154" spans="1:7" ht="15">
      <c r="A1154" s="2" t="s">
        <v>4303</v>
      </c>
      <c r="B1154" s="1" t="s">
        <v>4004</v>
      </c>
      <c r="C1154" s="1" t="s">
        <v>4005</v>
      </c>
      <c r="D1154" s="1" t="s">
        <v>5424</v>
      </c>
      <c r="E1154" s="5" t="str">
        <f>HYPERLINK("mailto:popestoremuseum@gmail.com","popestoremuseum@gmail.com")</f>
        <v>popestoremuseum@gmail.com</v>
      </c>
      <c r="F1154" s="6" t="str">
        <f>HYPERLINK("https://www.popesmuseumfarm.com/")</f>
        <v>https://www.popesmuseumfarm.com/</v>
      </c>
      <c r="G1154" s="5" t="str">
        <f>HYPERLINK("https://www.facebook.com/popesmuseum")</f>
        <v>https://www.facebook.com/popesmuseum</v>
      </c>
    </row>
    <row r="1155" spans="1:5" ht="15">
      <c r="A1155" s="2" t="s">
        <v>133</v>
      </c>
      <c r="C1155" s="1" t="s">
        <v>134</v>
      </c>
      <c r="D1155" s="1" t="s">
        <v>4325</v>
      </c>
      <c r="E1155" s="5" t="str">
        <f>HYPERLINK("mailto:garden@uga.edu","garden@uga.edu")</f>
        <v>garden@uga.edu</v>
      </c>
    </row>
    <row r="1156" spans="1:6" ht="15">
      <c r="A1156" s="2" t="s">
        <v>2162</v>
      </c>
      <c r="B1156" s="1" t="s">
        <v>2163</v>
      </c>
      <c r="C1156" s="1" t="s">
        <v>2164</v>
      </c>
      <c r="D1156" s="1" t="s">
        <v>4918</v>
      </c>
      <c r="E1156" s="5" t="str">
        <f>HYPERLINK("mailto:hendersons@liveoakpl.org","hendersons@liveoakpl.org")</f>
        <v>hendersons@liveoakpl.org</v>
      </c>
      <c r="F1156" s="6" t="str">
        <f>HYPERLINK("https://liveoakpl.org/locations/portcity")</f>
        <v>https://liveoakpl.org/locations/portcity</v>
      </c>
    </row>
    <row r="1157" spans="1:6" ht="15">
      <c r="A1157" s="2" t="s">
        <v>3977</v>
      </c>
      <c r="B1157" s="1" t="s">
        <v>3978</v>
      </c>
      <c r="C1157" s="1" t="s">
        <v>3979</v>
      </c>
      <c r="D1157" s="1" t="s">
        <v>5415</v>
      </c>
      <c r="E1157" s="5" t="str">
        <f>HYPERLINK("mailto:sscarboro@cityofportwentworth.com","sscarboro@cityofportwentworth.com")</f>
        <v>sscarboro@cityofportwentworth.com</v>
      </c>
      <c r="F1157" s="6" t="str">
        <f>HYPERLINK("http://www.cityofportwentworth.com/")</f>
        <v>http://www.cityofportwentworth.com/</v>
      </c>
    </row>
    <row r="1158" spans="1:6" ht="30">
      <c r="A1158" s="2" t="s">
        <v>1393</v>
      </c>
      <c r="B1158" s="1" t="s">
        <v>1394</v>
      </c>
      <c r="C1158" s="1" t="s">
        <v>1395</v>
      </c>
      <c r="D1158" s="1" t="s">
        <v>4695</v>
      </c>
      <c r="F1158" s="6" t="str">
        <f>HYPERLINK("http://newtonlibrary.org/about-your-library/branches/porter-memorial-branch-library")</f>
        <v>http://newtonlibrary.org/about-your-library/branches/porter-memorial-branch-library</v>
      </c>
    </row>
    <row r="1159" spans="1:7" ht="15">
      <c r="A1159" s="2" t="s">
        <v>1591</v>
      </c>
      <c r="B1159" s="1" t="s">
        <v>1592</v>
      </c>
      <c r="C1159" s="1" t="s">
        <v>1593</v>
      </c>
      <c r="D1159" s="1" t="s">
        <v>4361</v>
      </c>
      <c r="E1159" s="5" t="str">
        <f>HYPERLINK("mailto:Ask_a_Librarian@forsythpl.org","Ask_a_Librarian@forsythpl.org")</f>
        <v>Ask_a_Librarian@forsythpl.org</v>
      </c>
      <c r="F1159" s="6" t="str">
        <f>HYPERLINK("https://www.forsythpl.org/post-road-library")</f>
        <v>https://www.forsythpl.org/post-road-library</v>
      </c>
      <c r="G1159" s="5" t="str">
        <f>HYPERLINK("https://www.facebook.com/forsythpl")</f>
        <v>https://www.facebook.com/forsythpl</v>
      </c>
    </row>
    <row r="1160" spans="1:4" ht="15">
      <c r="A1160" s="2" t="s">
        <v>186</v>
      </c>
      <c r="B1160" s="1" t="s">
        <v>187</v>
      </c>
      <c r="C1160" s="1" t="s">
        <v>188</v>
      </c>
      <c r="D1160" s="1" t="s">
        <v>4339</v>
      </c>
    </row>
    <row r="1161" spans="1:6" ht="15">
      <c r="A1161" s="2" t="s">
        <v>967</v>
      </c>
      <c r="B1161" s="1" t="s">
        <v>968</v>
      </c>
      <c r="C1161" s="1" t="s">
        <v>969</v>
      </c>
      <c r="D1161" s="1" t="s">
        <v>4561</v>
      </c>
      <c r="F1161" s="6" t="str">
        <f>HYPERLINK("http://www.cobbcat.org/venue/powder-springs-library/")</f>
        <v>http://www.cobbcat.org/venue/powder-springs-library/</v>
      </c>
    </row>
    <row r="1162" spans="1:6" ht="15">
      <c r="A1162" s="2" t="s">
        <v>3998</v>
      </c>
      <c r="B1162" s="1" t="s">
        <v>3999</v>
      </c>
      <c r="C1162" s="1" t="s">
        <v>4000</v>
      </c>
      <c r="D1162" s="1" t="s">
        <v>5422</v>
      </c>
      <c r="E1162" s="5" t="str">
        <f>HYPERLINK("mailto:ljdekle@rose.net","ljdekle@rose.net")</f>
        <v>ljdekle@rose.net</v>
      </c>
      <c r="F1162" s="6" t="str">
        <f>HYPERLINK("http://www.powerofthepast.org/")</f>
        <v>http://www.powerofthepast.org/</v>
      </c>
    </row>
    <row r="1163" spans="1:6" ht="15">
      <c r="A1163" s="2" t="s">
        <v>1670</v>
      </c>
      <c r="B1163" s="1" t="s">
        <v>1671</v>
      </c>
      <c r="C1163" s="1" t="s">
        <v>1672</v>
      </c>
      <c r="D1163" s="1" t="s">
        <v>4776</v>
      </c>
      <c r="E1163" s="5" t="str">
        <f>HYPERLINK("mailto:info@pratersmill.org","info@pratersmill.org")</f>
        <v>info@pratersmill.org</v>
      </c>
      <c r="F1163" s="6" t="str">
        <f>HYPERLINK("http://www.pratersmill.org/")</f>
        <v>http://www.pratersmill.org/</v>
      </c>
    </row>
    <row r="1164" spans="1:5" ht="15">
      <c r="A1164" s="2" t="s">
        <v>2908</v>
      </c>
      <c r="D1164" s="1" t="s">
        <v>4776</v>
      </c>
      <c r="E1164" s="5" t="str">
        <f>HYPERLINK("mailto:info@pratersmill.org","info@pratersmill.org")</f>
        <v>info@pratersmill.org</v>
      </c>
    </row>
    <row r="1165" spans="1:3" ht="15">
      <c r="A1165" s="2" t="s">
        <v>2290</v>
      </c>
      <c r="B1165" s="1" t="s">
        <v>2288</v>
      </c>
      <c r="C1165" s="1" t="s">
        <v>2291</v>
      </c>
    </row>
    <row r="1166" spans="1:4" ht="15">
      <c r="A1166" s="2" t="s">
        <v>2909</v>
      </c>
      <c r="B1166" s="1" t="s">
        <v>2910</v>
      </c>
      <c r="C1166" s="1" t="s">
        <v>2911</v>
      </c>
      <c r="D1166" s="1" t="s">
        <v>5141</v>
      </c>
    </row>
    <row r="1167" spans="1:7" ht="15">
      <c r="A1167" s="2" t="s">
        <v>4204</v>
      </c>
      <c r="B1167" s="1" t="s">
        <v>4205</v>
      </c>
      <c r="C1167" s="1" t="s">
        <v>4206</v>
      </c>
      <c r="D1167" s="1" t="s">
        <v>5499</v>
      </c>
      <c r="G1167" s="5" t="str">
        <f>HYPERLINK("https://www.facebook.com/pulsemacon")</f>
        <v>https://www.facebook.com/pulsemacon</v>
      </c>
    </row>
    <row r="1168" spans="1:8" ht="15">
      <c r="A1168" s="2" t="s">
        <v>4207</v>
      </c>
      <c r="D1168" s="1" t="s">
        <v>5500</v>
      </c>
      <c r="E1168" s="5" t="str">
        <f>HYPERLINK("mailto:purbashainc@gmail.com","purbashainc@gmail.com")</f>
        <v>purbashainc@gmail.com</v>
      </c>
      <c r="F1168" s="6" t="str">
        <f>HYPERLINK("http://purbasha.org/")</f>
        <v>http://purbasha.org/</v>
      </c>
      <c r="G1168" s="5" t="str">
        <f>HYPERLINK("https://www.facebook.com/purbashaatlanta")</f>
        <v>https://www.facebook.com/purbashaatlanta</v>
      </c>
      <c r="H1168" s="5" t="str">
        <f>HYPERLINK("https://twitter.com/purbashainc")</f>
        <v>https://twitter.com/purbashainc</v>
      </c>
    </row>
    <row r="1169" spans="1:6" ht="15">
      <c r="A1169" s="2" t="s">
        <v>1465</v>
      </c>
      <c r="B1169" s="1" t="s">
        <v>1466</v>
      </c>
      <c r="C1169" s="1" t="s">
        <v>1467</v>
      </c>
      <c r="D1169" s="1" t="s">
        <v>4719</v>
      </c>
      <c r="F1169" s="6" t="str">
        <f>HYPERLINK("https://krlibrary.org/?page_id=8")</f>
        <v>https://krlibrary.org/?page_id=8</v>
      </c>
    </row>
    <row r="1170" spans="1:6" ht="15">
      <c r="A1170" s="2" t="s">
        <v>901</v>
      </c>
      <c r="B1170" s="1" t="s">
        <v>902</v>
      </c>
      <c r="C1170" s="1" t="s">
        <v>903</v>
      </c>
      <c r="D1170" s="1" t="s">
        <v>4539</v>
      </c>
      <c r="E1170" s="5" t="str">
        <f>HYPERLINK("mailto:campr@seqlib.org","campr@seqlib.org")</f>
        <v>campr@seqlib.org</v>
      </c>
      <c r="F1170" s="6" t="str">
        <f>HYPERLINK("https://www.sequoyahregionallibrary.org/r-t-jones/")</f>
        <v>https://www.sequoyahregionallibrary.org/r-t-jones/</v>
      </c>
    </row>
    <row r="1171" spans="1:7" ht="15">
      <c r="A1171" s="2" t="s">
        <v>4208</v>
      </c>
      <c r="B1171" s="1" t="s">
        <v>4209</v>
      </c>
      <c r="C1171" s="1" t="s">
        <v>4210</v>
      </c>
      <c r="D1171" s="1" t="s">
        <v>5501</v>
      </c>
      <c r="E1171" s="5" t="str">
        <f>HYPERLINK("mailto:r2iseteam@gmail.com","r2iseteam@gmail.com")</f>
        <v>r2iseteam@gmail.com</v>
      </c>
      <c r="F1171" s="6" t="str">
        <f>HYPERLINK("https://r2isetheatre.org/")</f>
        <v>https://r2isetheatre.org/</v>
      </c>
      <c r="G1171" s="5" t="str">
        <f>HYPERLINK("https://www.facebook.com/therisetheatre")</f>
        <v>https://www.facebook.com/therisetheatre</v>
      </c>
    </row>
    <row r="1172" spans="1:6" ht="15">
      <c r="A1172" s="2" t="s">
        <v>2915</v>
      </c>
      <c r="B1172" s="1" t="s">
        <v>2916</v>
      </c>
      <c r="C1172" s="1" t="s">
        <v>2917</v>
      </c>
      <c r="D1172" s="1" t="s">
        <v>5143</v>
      </c>
      <c r="F1172" s="6" t="str">
        <f>HYPERLINK("https://www.rabunhistory.org/")</f>
        <v>https://www.rabunhistory.org/</v>
      </c>
    </row>
    <row r="1173" spans="1:6" ht="15">
      <c r="A1173" s="2" t="s">
        <v>1249</v>
      </c>
      <c r="B1173" s="1" t="s">
        <v>1250</v>
      </c>
      <c r="C1173" s="1" t="s">
        <v>1251</v>
      </c>
      <c r="D1173" s="1" t="s">
        <v>4648</v>
      </c>
      <c r="E1173" s="5" t="str">
        <f>HYPERLINK("mailto:cfrick@negeorgialibraries.org","cfrick@negeorgialibraries.org")</f>
        <v>cfrick@negeorgialibraries.org</v>
      </c>
      <c r="F1173" s="6" t="str">
        <f>HYPERLINK("https://www.rabuncountylibrary.org/")</f>
        <v>https://www.rabuncountylibrary.org/</v>
      </c>
    </row>
    <row r="1174" spans="1:7" ht="15">
      <c r="A1174" s="2" t="s">
        <v>1868</v>
      </c>
      <c r="B1174" s="1" t="s">
        <v>1869</v>
      </c>
      <c r="C1174" s="1" t="s">
        <v>1870</v>
      </c>
      <c r="D1174" s="1" t="s">
        <v>4834</v>
      </c>
      <c r="E1174" s="5" t="str">
        <f>HYPERLINK("mailto:vaughnettegoode-walker@ralphmarkgilbertcivilrightsmuseum.org","vaughnettegoode-walker@ralphmarkgilbertcivilrightsmuseum.org")</f>
        <v>vaughnettegoode-walker@ralphmarkgilbertcivilrightsmuseum.org</v>
      </c>
      <c r="F1174" s="6" t="str">
        <f>HYPERLINK("https://rmgilbertcivilrightsmuseum.com/")</f>
        <v>https://rmgilbertcivilrightsmuseum.com/</v>
      </c>
      <c r="G1174" s="5" t="str">
        <f>HYPERLINK("https://www.facebook.com/rmgcivilrightsmuseum")</f>
        <v>https://www.facebook.com/rmgcivilrightsmuseum</v>
      </c>
    </row>
    <row r="1175" spans="1:6" ht="15">
      <c r="A1175" s="2" t="s">
        <v>1459</v>
      </c>
      <c r="B1175" s="1" t="s">
        <v>1460</v>
      </c>
      <c r="C1175" s="1" t="s">
        <v>1461</v>
      </c>
      <c r="D1175" s="1" t="s">
        <v>4717</v>
      </c>
      <c r="F1175" s="6" t="str">
        <f>HYPERLINK("https://krlibrary.org/?page_id=14")</f>
        <v>https://krlibrary.org/?page_id=14</v>
      </c>
    </row>
    <row r="1176" ht="15">
      <c r="A1176" s="2" t="s">
        <v>2918</v>
      </c>
    </row>
    <row r="1177" spans="1:7" ht="15">
      <c r="A1177" s="2" t="s">
        <v>4211</v>
      </c>
      <c r="B1177" s="1" t="s">
        <v>4212</v>
      </c>
      <c r="C1177" s="1" t="s">
        <v>4213</v>
      </c>
      <c r="D1177" s="1" t="s">
        <v>5502</v>
      </c>
      <c r="E1177" s="5" t="str">
        <f>HYPERLINK("mailto:raycitylibrary@gmail.com","raycitylibrary@gmail.com")</f>
        <v>raycitylibrary@gmail.com</v>
      </c>
      <c r="F1177" s="6" t="str">
        <f>HYPERLINK("https://sites.google.com/view/raycitylibrary/home")</f>
        <v>https://sites.google.com/view/raycitylibrary/home</v>
      </c>
      <c r="G1177" s="5" t="str">
        <f>HYPERLINK("https://www.facebook.com/raycityplayground")</f>
        <v>https://www.facebook.com/raycityplayground</v>
      </c>
    </row>
    <row r="1178" spans="1:8" ht="15">
      <c r="A1178" s="2" t="s">
        <v>4217</v>
      </c>
      <c r="B1178" s="1" t="s">
        <v>4218</v>
      </c>
      <c r="C1178" s="1" t="s">
        <v>4219</v>
      </c>
      <c r="D1178" s="1" t="s">
        <v>5504</v>
      </c>
      <c r="E1178" s="5" t="str">
        <f>HYPERLINK("mailto:info@reimagineatl.com","info@reimagineatl.com")</f>
        <v>info@reimagineatl.com</v>
      </c>
      <c r="F1178" s="6" t="str">
        <f>HYPERLINK("http://www.reimagineatl.com/")</f>
        <v>http://www.reimagineatl.com/</v>
      </c>
      <c r="G1178" s="5" t="str">
        <f>HYPERLINK("https://www.facebook.com/reimagineatl")</f>
        <v>https://www.facebook.com/reimagineatl</v>
      </c>
      <c r="H1178" s="5" t="str">
        <f>HYPERLINK("https://twitter.com/reimagineATL")</f>
        <v>https://twitter.com/reimagineATL</v>
      </c>
    </row>
    <row r="1179" spans="1:6" ht="15">
      <c r="A1179" s="2" t="s">
        <v>1075</v>
      </c>
      <c r="B1179" s="1" t="s">
        <v>1076</v>
      </c>
      <c r="C1179" s="1" t="s">
        <v>1077</v>
      </c>
      <c r="D1179" s="1" t="s">
        <v>4596</v>
      </c>
      <c r="F1179" s="6" t="str">
        <f>HYPERLINK("https://dekalblibrary.org/branches/reda")</f>
        <v>https://dekalblibrary.org/branches/reda</v>
      </c>
    </row>
    <row r="1180" spans="1:6" ht="15">
      <c r="A1180" s="2" t="s">
        <v>1582</v>
      </c>
      <c r="B1180" s="1" t="s">
        <v>1583</v>
      </c>
      <c r="C1180" s="1" t="s">
        <v>1584</v>
      </c>
      <c r="D1180" s="1" t="s">
        <v>4754</v>
      </c>
      <c r="F1180" s="6" t="str">
        <f>HYPERLINK("https://www.leecountylibrary.org/about/hours-locations")</f>
        <v>https://www.leecountylibrary.org/about/hours-locations</v>
      </c>
    </row>
    <row r="1181" spans="1:6" ht="15">
      <c r="A1181" s="2" t="s">
        <v>559</v>
      </c>
      <c r="B1181" s="1" t="s">
        <v>560</v>
      </c>
      <c r="C1181" s="1" t="s">
        <v>561</v>
      </c>
      <c r="D1181" s="1" t="s">
        <v>4435</v>
      </c>
      <c r="E1181" s="5" t="str">
        <f>HYPERLINK("mailto:reference@augusta.edu","reference@augusta.edu")</f>
        <v>reference@augusta.edu</v>
      </c>
      <c r="F1181" s="6" t="str">
        <f>HYPERLINK("https://www.augusta.edu/library/reese/")</f>
        <v>https://www.augusta.edu/library/reese/</v>
      </c>
    </row>
    <row r="1182" spans="1:8" ht="15">
      <c r="A1182" s="2" t="s">
        <v>4214</v>
      </c>
      <c r="B1182" s="1" t="s">
        <v>4215</v>
      </c>
      <c r="C1182" s="1" t="s">
        <v>4216</v>
      </c>
      <c r="D1182" s="1" t="s">
        <v>5503</v>
      </c>
      <c r="E1182" s="5" t="str">
        <f>HYPERLINK("mailto:info@reformingarts.org","info@reformingarts.org")</f>
        <v>info@reformingarts.org</v>
      </c>
      <c r="F1182" s="6" t="str">
        <f>HYPERLINK("https://www.reformingarts.org/")</f>
        <v>https://www.reformingarts.org/</v>
      </c>
      <c r="G1182" s="5" t="str">
        <f>HYPERLINK("https://www.facebook.com/reformingarts")</f>
        <v>https://www.facebook.com/reformingarts</v>
      </c>
      <c r="H1182" s="5" t="str">
        <f>HYPERLINK("https://twitter.com/reformingarts")</f>
        <v>https://twitter.com/reformingarts</v>
      </c>
    </row>
    <row r="1183" spans="1:7" ht="30">
      <c r="A1183" s="2" t="s">
        <v>3794</v>
      </c>
      <c r="B1183" s="1" t="s">
        <v>2707</v>
      </c>
      <c r="C1183" s="1" t="s">
        <v>3795</v>
      </c>
      <c r="D1183" s="1" t="s">
        <v>5079</v>
      </c>
      <c r="E1183" s="5" t="str">
        <f>HYPERLINK("mailto:raam.northeast.ga@gmail.com","raam.northeast.ga@gmail.com")</f>
        <v>raam.northeast.ga@gmail.com</v>
      </c>
      <c r="F1183" s="6" t="str">
        <f>HYPERLINK("https://habershamhistoricalsociety.org/african-american-museum")</f>
        <v>https://habershamhistoricalsociety.org/african-american-museum</v>
      </c>
      <c r="G1183" s="5" t="str">
        <f>HYPERLINK("https://www.facebook.com/Regional-African-American-Museum-of-Northeast-Georgia-Inc-286265368050235")</f>
        <v>https://www.facebook.com/Regional-African-American-Museum-of-Northeast-Georgia-Inc-286265368050235</v>
      </c>
    </row>
    <row r="1184" spans="1:6" ht="15">
      <c r="A1184" s="2" t="s">
        <v>781</v>
      </c>
      <c r="B1184" s="1" t="s">
        <v>782</v>
      </c>
      <c r="C1184" s="1" t="s">
        <v>783</v>
      </c>
      <c r="D1184" s="1" t="s">
        <v>4499</v>
      </c>
      <c r="F1184" s="6" t="str">
        <f>HYPERLINK("https://prlib.org/")</f>
        <v>https://prlib.org/</v>
      </c>
    </row>
    <row r="1185" spans="1:8" ht="15">
      <c r="A1185" s="2" t="s">
        <v>4220</v>
      </c>
      <c r="B1185" s="1" t="s">
        <v>4221</v>
      </c>
      <c r="C1185" s="1" t="s">
        <v>4222</v>
      </c>
      <c r="D1185" s="1" t="s">
        <v>5505</v>
      </c>
      <c r="E1185" s="5" t="str">
        <f>HYPERLINK("mailto:admin@remerge.org","admin@remerge.org")</f>
        <v>admin@remerge.org</v>
      </c>
      <c r="F1185" s="6" t="str">
        <f>HYPERLINK("http://remerge.org/")</f>
        <v>http://remerge.org/</v>
      </c>
      <c r="G1185" s="5" t="str">
        <f>HYPERLINK("https://www.facebook.com/RemergeATL")</f>
        <v>https://www.facebook.com/RemergeATL</v>
      </c>
      <c r="H1185" s="5" t="str">
        <f>HYPERLINK("https://twitter.com/remergeatl")</f>
        <v>https://twitter.com/remergeatl</v>
      </c>
    </row>
    <row r="1186" spans="1:8" ht="15">
      <c r="A1186" s="2" t="s">
        <v>4223</v>
      </c>
      <c r="B1186" s="1" t="s">
        <v>4224</v>
      </c>
      <c r="C1186" s="1" t="s">
        <v>4225</v>
      </c>
      <c r="D1186" s="1" t="s">
        <v>5506</v>
      </c>
      <c r="E1186" s="5" t="str">
        <f>HYPERLINK("mailto:renaissanceconnect@att.net","renaissanceconnect@att.net")</f>
        <v>renaissanceconnect@att.net</v>
      </c>
      <c r="F1186" s="6" t="str">
        <f>HYPERLINK("https://www.renaissanceconnect.com/")</f>
        <v>https://www.renaissanceconnect.com/</v>
      </c>
      <c r="G1186" s="5" t="str">
        <f>HYPERLINK("https://www.facebook.com/RenaissanceConnect")</f>
        <v>https://www.facebook.com/RenaissanceConnect</v>
      </c>
      <c r="H1186" s="5" t="str">
        <f>HYPERLINK("https://twitter.com/RenaConnect")</f>
        <v>https://twitter.com/RenaConnect</v>
      </c>
    </row>
    <row r="1187" spans="1:6" ht="15">
      <c r="A1187" s="2" t="s">
        <v>3535</v>
      </c>
      <c r="B1187" s="1" t="s">
        <v>3536</v>
      </c>
      <c r="C1187" s="1" t="s">
        <v>3537</v>
      </c>
      <c r="D1187" s="1" t="s">
        <v>5311</v>
      </c>
      <c r="F1187" s="6" t="str">
        <f>HYPERLINK("http://www.gordoncountyparks.org/#RBHStop")</f>
        <v>http://www.gordoncountyparks.org/#RBHStop</v>
      </c>
    </row>
    <row r="1188" spans="1:6" ht="30">
      <c r="A1188" s="2" t="s">
        <v>1324</v>
      </c>
      <c r="B1188" s="1" t="s">
        <v>1325</v>
      </c>
      <c r="C1188" s="1" t="s">
        <v>1326</v>
      </c>
      <c r="D1188" s="1" t="s">
        <v>4673</v>
      </c>
      <c r="E1188" s="5" t="str">
        <f>HYPERLINK("mailto:libraryr@pinemtnlibrary.org","libraryr@pinemtnlibrary.org")</f>
        <v>libraryr@pinemtnlibrary.org</v>
      </c>
      <c r="F1188" s="6" t="str">
        <f>HYPERLINK("https://www.pinemtnlibrary.org/wordpress/index.php/hours-and-locations/taylor-county/reynolds-community-library/")</f>
        <v>https://www.pinemtnlibrary.org/wordpress/index.php/hours-and-locations/taylor-county/reynolds-community-library/</v>
      </c>
    </row>
    <row r="1189" spans="1:7" ht="15">
      <c r="A1189" s="2" t="s">
        <v>3523</v>
      </c>
      <c r="B1189" s="1" t="s">
        <v>3524</v>
      </c>
      <c r="C1189" s="1" t="s">
        <v>3525</v>
      </c>
      <c r="D1189" s="1" t="s">
        <v>5308</v>
      </c>
      <c r="F1189" s="6" t="str">
        <f>HYPERLINK("https://gastateparks.org/ReynoldsMansion")</f>
        <v>https://gastateparks.org/ReynoldsMansion</v>
      </c>
      <c r="G1189" s="5" t="str">
        <f>HYPERLINK("https://www.facebook.com/101009513310201")</f>
        <v>https://www.facebook.com/101009513310201</v>
      </c>
    </row>
    <row r="1190" spans="1:6" ht="15">
      <c r="A1190" s="2" t="s">
        <v>1936</v>
      </c>
      <c r="B1190" s="1" t="s">
        <v>604</v>
      </c>
      <c r="C1190" s="1" t="s">
        <v>1937</v>
      </c>
      <c r="D1190" s="1" t="s">
        <v>4855</v>
      </c>
      <c r="F1190" s="6" t="str">
        <f>HYPERLINK("http://www.rhodeshall.org/")</f>
        <v>http://www.rhodeshall.org/</v>
      </c>
    </row>
    <row r="1191" ht="15">
      <c r="A1191" s="2" t="s">
        <v>135</v>
      </c>
    </row>
    <row r="1192" spans="1:6" ht="30">
      <c r="A1192" s="2" t="s">
        <v>1938</v>
      </c>
      <c r="B1192" s="1" t="s">
        <v>1939</v>
      </c>
      <c r="C1192" s="1" t="s">
        <v>1940</v>
      </c>
      <c r="D1192" s="1" t="s">
        <v>4856</v>
      </c>
      <c r="E1192" s="5" t="str">
        <f>HYPERLINK("mailto:russlib@uga.edu","russlib@uga.edu")</f>
        <v>russlib@uga.edu</v>
      </c>
      <c r="F1192" s="6" t="str">
        <f>HYPERLINK("https://www.libs.uga.edu/russell-library/")</f>
        <v>https://www.libs.uga.edu/russell-library/</v>
      </c>
    </row>
    <row r="1193" spans="1:6" ht="15">
      <c r="A1193" s="2" t="s">
        <v>3483</v>
      </c>
      <c r="B1193" s="1" t="s">
        <v>3484</v>
      </c>
      <c r="C1193" s="1" t="s">
        <v>3485</v>
      </c>
      <c r="D1193" s="1" t="s">
        <v>5300</v>
      </c>
      <c r="F1193" s="6" t="str">
        <f>HYPERLINK("http://www.richmondhillhistoricalsociety.com/")</f>
        <v>http://www.richmondhillhistoricalsociety.com/</v>
      </c>
    </row>
    <row r="1194" spans="1:3" ht="15">
      <c r="A1194" s="2" t="s">
        <v>54</v>
      </c>
      <c r="B1194" s="1" t="s">
        <v>55</v>
      </c>
      <c r="C1194" s="1" t="s">
        <v>56</v>
      </c>
    </row>
    <row r="1195" spans="1:7" ht="15">
      <c r="A1195" s="2" t="s">
        <v>2229</v>
      </c>
      <c r="B1195" s="1" t="s">
        <v>2230</v>
      </c>
      <c r="C1195" s="1" t="s">
        <v>2231</v>
      </c>
      <c r="D1195" s="1" t="s">
        <v>4940</v>
      </c>
      <c r="E1195" s="5" t="str">
        <f>HYPERLINK("mailto:rich@strl.info","rich@strl.info")</f>
        <v>rich@strl.info</v>
      </c>
      <c r="F1195" s="6" t="str">
        <f>HYPERLINK("https://strl.info/richmond-hill-public-library/")</f>
        <v>https://strl.info/richmond-hill-public-library/</v>
      </c>
      <c r="G1195" s="5" t="str">
        <f>HYPERLINK("https://www.facebook.com/RichmondHillLibrary")</f>
        <v>https://www.facebook.com/RichmondHillLibrary</v>
      </c>
    </row>
    <row r="1196" spans="1:6" ht="15">
      <c r="A1196" s="2" t="s">
        <v>3265</v>
      </c>
      <c r="B1196" s="1" t="s">
        <v>3266</v>
      </c>
      <c r="C1196" s="1" t="s">
        <v>3267</v>
      </c>
      <c r="D1196" s="1" t="s">
        <v>5239</v>
      </c>
      <c r="F1196" s="6" t="str">
        <f>HYPERLINK("https://www.richmont.edu/library/")</f>
        <v>https://www.richmont.edu/library/</v>
      </c>
    </row>
    <row r="1197" spans="1:6" ht="15">
      <c r="A1197" s="2" t="s">
        <v>2165</v>
      </c>
      <c r="B1197" s="1" t="s">
        <v>2166</v>
      </c>
      <c r="C1197" s="1" t="s">
        <v>2167</v>
      </c>
      <c r="D1197" s="1" t="s">
        <v>4919</v>
      </c>
      <c r="E1197" s="5" t="str">
        <f>HYPERLINK("mailto:driggersc@liveoakpl.org","driggersc@liveoakpl.org")</f>
        <v>driggersc@liveoakpl.org</v>
      </c>
      <c r="F1197" s="6" t="str">
        <f>HYPERLINK("https://liveoakpl.org/locations/rincon")</f>
        <v>https://liveoakpl.org/locations/rincon</v>
      </c>
    </row>
    <row r="1198" spans="1:6" ht="15">
      <c r="A1198" s="2" t="s">
        <v>2064</v>
      </c>
      <c r="B1198" s="1" t="s">
        <v>2065</v>
      </c>
      <c r="C1198" s="1" t="s">
        <v>2066</v>
      </c>
      <c r="D1198" s="1" t="s">
        <v>4896</v>
      </c>
      <c r="F1198" s="6" t="str">
        <f>HYPERLINK("https://claytonpl.org/locations/riverdale/")</f>
        <v>https://claytonpl.org/locations/riverdale/</v>
      </c>
    </row>
    <row r="1199" spans="1:6" ht="15">
      <c r="A1199" s="2" t="s">
        <v>2304</v>
      </c>
      <c r="B1199" s="1" t="s">
        <v>2305</v>
      </c>
      <c r="C1199" s="1" t="s">
        <v>2306</v>
      </c>
      <c r="D1199" s="1" t="s">
        <v>4958</v>
      </c>
      <c r="F1199" s="6" t="str">
        <f>HYPERLINK("http://bibblib.org/locations/riverside-library/")</f>
        <v>http://bibblib.org/locations/riverside-library/</v>
      </c>
    </row>
    <row r="1200" spans="1:6" ht="30">
      <c r="A1200" s="2" t="s">
        <v>3791</v>
      </c>
      <c r="B1200" s="1" t="s">
        <v>3792</v>
      </c>
      <c r="C1200" s="1" t="s">
        <v>3793</v>
      </c>
      <c r="D1200" s="1" t="s">
        <v>5374</v>
      </c>
      <c r="F1200" s="6" t="str">
        <f>HYPERLINK("https://www.claytoncountyfilmtourism.com/gone-with-wind/road-to-tara-museum/")</f>
        <v>https://www.claytoncountyfilmtourism.com/gone-with-wind/road-to-tara-museum/</v>
      </c>
    </row>
    <row r="1201" spans="1:6" ht="15">
      <c r="A1201" s="2" t="s">
        <v>1942</v>
      </c>
      <c r="B1201" s="1" t="s">
        <v>1943</v>
      </c>
      <c r="C1201" s="1" t="s">
        <v>1944</v>
      </c>
      <c r="D1201" s="1" t="s">
        <v>4857</v>
      </c>
      <c r="E1201" s="5" t="str">
        <f>HYPERLINK("mailto:virginia.howell@rbi.gatech.edu","virginia.howell@rbi.gatech.edu")</f>
        <v>virginia.howell@rbi.gatech.edu</v>
      </c>
      <c r="F1201" s="6" t="str">
        <f>HYPERLINK("https://paper.gatech.edu/")</f>
        <v>https://paper.gatech.edu/</v>
      </c>
    </row>
    <row r="1202" spans="1:3" ht="15">
      <c r="A1202" s="2" t="s">
        <v>36</v>
      </c>
      <c r="B1202" s="1" t="s">
        <v>37</v>
      </c>
      <c r="C1202" s="1" t="s">
        <v>38</v>
      </c>
    </row>
    <row r="1203" spans="1:6" ht="15">
      <c r="A1203" s="2" t="s">
        <v>1945</v>
      </c>
      <c r="B1203" s="1" t="s">
        <v>1946</v>
      </c>
      <c r="C1203" s="1" t="s">
        <v>1947</v>
      </c>
      <c r="D1203" s="1" t="s">
        <v>4858</v>
      </c>
      <c r="F1203" s="6" t="str">
        <f>HYPERLINK("https://gastateparks.org/RobertToombsHouse")</f>
        <v>https://gastateparks.org/RobertToombsHouse</v>
      </c>
    </row>
    <row r="1204" spans="1:6" ht="15">
      <c r="A1204" s="2" t="s">
        <v>227</v>
      </c>
      <c r="B1204" s="1" t="s">
        <v>228</v>
      </c>
      <c r="C1204" s="1" t="s">
        <v>229</v>
      </c>
      <c r="D1204" s="1" t="s">
        <v>4346</v>
      </c>
      <c r="E1204" s="5" t="str">
        <f>HYPERLINK("mailto:libraryservicedesk@emory.edu","libraryservicedesk@emory.edu")</f>
        <v>libraryservicedesk@emory.edu</v>
      </c>
      <c r="F1204" s="6" t="str">
        <f>HYPERLINK("https://libraries.emory.edu/woodruff/index.html")</f>
        <v>https://libraries.emory.edu/woodruff/index.html</v>
      </c>
    </row>
    <row r="1205" spans="1:7" ht="30">
      <c r="A1205" s="2" t="s">
        <v>1948</v>
      </c>
      <c r="B1205" s="1" t="s">
        <v>1949</v>
      </c>
      <c r="C1205" s="1" t="s">
        <v>1950</v>
      </c>
      <c r="D1205" s="1" t="s">
        <v>4859</v>
      </c>
      <c r="F1205" s="6" t="str">
        <f>HYPERLINK("http://www.auctr.edu/")</f>
        <v>http://www.auctr.edu/</v>
      </c>
      <c r="G1205" s="5" t="str">
        <f>HYPERLINK("https://www.facebook.com/aucwoodrufflib")</f>
        <v>https://www.facebook.com/aucwoodrufflib</v>
      </c>
    </row>
    <row r="1206" spans="1:6" ht="15">
      <c r="A1206" s="2" t="s">
        <v>1871</v>
      </c>
      <c r="B1206" s="1" t="s">
        <v>1872</v>
      </c>
      <c r="C1206" s="1" t="s">
        <v>1873</v>
      </c>
      <c r="D1206" s="1" t="s">
        <v>4835</v>
      </c>
      <c r="E1206" s="5" t="str">
        <f>HYPERLINK("mailto:larrymoore@plantationcable.net","larrymoore@plantationcable.net")</f>
        <v>larrymoore@plantationcable.net</v>
      </c>
      <c r="F1206" s="6" t="str">
        <f>HYPERLINK("http://rockhawk.org/")</f>
        <v>http://rockhawk.org/</v>
      </c>
    </row>
    <row r="1207" spans="1:7" ht="15">
      <c r="A1207" s="2" t="s">
        <v>2922</v>
      </c>
      <c r="B1207" s="1" t="s">
        <v>2923</v>
      </c>
      <c r="C1207" s="1" t="s">
        <v>647</v>
      </c>
      <c r="D1207" s="1" t="s">
        <v>5145</v>
      </c>
      <c r="E1207" s="5" t="str">
        <f>HYPERLINK("mailto:rockdalehistory@gmail.com","rockdalehistory@gmail.com")</f>
        <v>rockdalehistory@gmail.com</v>
      </c>
      <c r="F1207" s="6" t="str">
        <f>HYPERLINK("http://rockdalehistory.org/")</f>
        <v>http://rockdalehistory.org/</v>
      </c>
      <c r="G1207" s="5" t="str">
        <f>HYPERLINK("https://www.facebook.com/rockdalehistory")</f>
        <v>https://www.facebook.com/rockdalehistory</v>
      </c>
    </row>
    <row r="1208" spans="1:3" ht="15">
      <c r="A1208" s="2" t="s">
        <v>646</v>
      </c>
      <c r="C1208" s="1" t="s">
        <v>647</v>
      </c>
    </row>
    <row r="1209" spans="1:7" ht="15">
      <c r="A1209" s="2" t="s">
        <v>2919</v>
      </c>
      <c r="B1209" s="1" t="s">
        <v>2920</v>
      </c>
      <c r="C1209" s="1" t="s">
        <v>2921</v>
      </c>
      <c r="D1209" s="1" t="s">
        <v>5144</v>
      </c>
      <c r="E1209" s="5" t="str">
        <f>HYPERLINK("mailto:rncgs41119@gmail.com","rncgs41119@gmail.com")</f>
        <v>rncgs41119@gmail.com</v>
      </c>
      <c r="F1209" s="6" t="str">
        <f>HYPERLINK("https://www.rockdale-newtongenealogicalsociety.com/")</f>
        <v>https://www.rockdale-newtongenealogicalsociety.com/</v>
      </c>
      <c r="G1209" s="5" t="str">
        <f>HYPERLINK("https://www.facebook.com/RockdaleCountyGenealogicalSociety")</f>
        <v>https://www.facebook.com/RockdaleCountyGenealogicalSociety</v>
      </c>
    </row>
    <row r="1210" spans="1:6" ht="15">
      <c r="A1210" s="2" t="s">
        <v>1123</v>
      </c>
      <c r="B1210" s="1" t="s">
        <v>1124</v>
      </c>
      <c r="C1210" s="1" t="s">
        <v>1125</v>
      </c>
      <c r="D1210" s="1" t="s">
        <v>4611</v>
      </c>
      <c r="F1210" s="6" t="str">
        <f>HYPERLINK("https://shrls.org/rockmart/")</f>
        <v>https://shrls.org/rockmart/</v>
      </c>
    </row>
    <row r="1211" spans="1:6" ht="15">
      <c r="A1211" s="2" t="s">
        <v>345</v>
      </c>
      <c r="B1211" s="1" t="s">
        <v>346</v>
      </c>
      <c r="C1211" s="1" t="s">
        <v>347</v>
      </c>
      <c r="D1211" s="1" t="s">
        <v>4377</v>
      </c>
      <c r="F1211" s="6" t="str">
        <f>HYPERLINK("https://rmlibrary.org/")</f>
        <v>https://rmlibrary.org/</v>
      </c>
    </row>
    <row r="1212" spans="1:6" ht="15">
      <c r="A1212" s="2" t="s">
        <v>1676</v>
      </c>
      <c r="B1212" s="1" t="s">
        <v>1677</v>
      </c>
      <c r="C1212" s="1" t="s">
        <v>1678</v>
      </c>
      <c r="D1212" s="1" t="s">
        <v>4778</v>
      </c>
      <c r="E1212" s="5" t="str">
        <f>HYPERLINK("mailto:info@harrisartscenter.com","info@harrisartscenter.com")</f>
        <v>info@harrisartscenter.com</v>
      </c>
      <c r="F1212" s="6" t="str">
        <f>HYPERLINK("https://harrisartscenter.com/roland-hayes/")</f>
        <v>https://harrisartscenter.com/roland-hayes/</v>
      </c>
    </row>
    <row r="1213" spans="1:7" ht="30">
      <c r="A1213" s="2" t="s">
        <v>2399</v>
      </c>
      <c r="B1213" s="1" t="s">
        <v>2400</v>
      </c>
      <c r="C1213" s="1" t="s">
        <v>2401</v>
      </c>
      <c r="D1213" s="1" t="s">
        <v>4983</v>
      </c>
      <c r="E1213" s="5" t="str">
        <f>HYPERLINK("mailto:Archives@diosav.org","Archives@diosav.org")</f>
        <v>Archives@diosav.org</v>
      </c>
      <c r="F1213" s="6" t="str">
        <f>HYPERLINK("https://www.diosav.org/offices/archives-records")</f>
        <v>https://www.diosav.org/offices/archives-records</v>
      </c>
      <c r="G1213" s="5" t="str">
        <f>HYPERLINK("https://www.facebook.com/diosavarchives")</f>
        <v>https://www.facebook.com/diosavarchives</v>
      </c>
    </row>
    <row r="1214" spans="1:7" ht="15">
      <c r="A1214" s="2" t="s">
        <v>2924</v>
      </c>
      <c r="E1214" s="5" t="str">
        <f>HYPERLINK("mailto:info@romeareaheritagefoundation.org","info@romeareaheritagefoundation.org")</f>
        <v>info@romeareaheritagefoundation.org</v>
      </c>
      <c r="F1214" s="6" t="str">
        <f>HYPERLINK("http://www.romeareaheritagefoundation.org/")</f>
        <v>http://www.romeareaheritagefoundation.org/</v>
      </c>
      <c r="G1214" s="5" t="str">
        <f>HYPERLINK("https://www.facebook.com/RomeAreaHeritageFoundation")</f>
        <v>https://www.facebook.com/RomeAreaHeritageFoundation</v>
      </c>
    </row>
    <row r="1215" spans="1:7" ht="15">
      <c r="A1215" s="2" t="s">
        <v>1874</v>
      </c>
      <c r="B1215" s="1" t="s">
        <v>1875</v>
      </c>
      <c r="C1215" s="1" t="s">
        <v>1876</v>
      </c>
      <c r="D1215" s="1" t="s">
        <v>4836</v>
      </c>
      <c r="F1215" s="6" t="str">
        <f>HYPERLINK("http://www.romehistorymuseum.org/")</f>
        <v>http://www.romehistorymuseum.org/</v>
      </c>
      <c r="G1215" s="5" t="str">
        <f>HYPERLINK("https://www.facebook.com/romehistorymuseum.org")</f>
        <v>https://www.facebook.com/romehistorymuseum.org</v>
      </c>
    </row>
    <row r="1216" spans="1:6" ht="15">
      <c r="A1216" s="2" t="s">
        <v>1126</v>
      </c>
      <c r="B1216" s="1" t="s">
        <v>1127</v>
      </c>
      <c r="C1216" s="1" t="s">
        <v>1128</v>
      </c>
      <c r="D1216" s="1" t="s">
        <v>4612</v>
      </c>
      <c r="F1216" s="6" t="str">
        <f>HYPERLINK("https://shrls.org/rome/")</f>
        <v>https://shrls.org/rome/</v>
      </c>
    </row>
    <row r="1217" spans="1:6" ht="15">
      <c r="A1217" s="2" t="s">
        <v>2925</v>
      </c>
      <c r="B1217" s="1" t="s">
        <v>2926</v>
      </c>
      <c r="C1217" s="1" t="s">
        <v>2927</v>
      </c>
      <c r="D1217" s="1" t="s">
        <v>4612</v>
      </c>
      <c r="F1217" s="6" t="str">
        <f>HYPERLINK("https://shrls.org/SC/")</f>
        <v>https://shrls.org/SC/</v>
      </c>
    </row>
    <row r="1218" spans="1:6" ht="15">
      <c r="A1218" s="2" t="s">
        <v>2928</v>
      </c>
      <c r="B1218" s="1" t="s">
        <v>2929</v>
      </c>
      <c r="C1218" s="1" t="s">
        <v>2930</v>
      </c>
      <c r="F1218" s="6" t="str">
        <f>HYPERLINK("http://www.carrollcountyhistory.org/roopville.html")</f>
        <v>http://www.carrollcountyhistory.org/roopville.html</v>
      </c>
    </row>
    <row r="1219" spans="1:5" ht="30">
      <c r="A1219" s="2" t="s">
        <v>94</v>
      </c>
      <c r="B1219" s="1" t="s">
        <v>95</v>
      </c>
      <c r="C1219" s="1" t="s">
        <v>96</v>
      </c>
      <c r="D1219" s="1" t="s">
        <v>4316</v>
      </c>
      <c r="E1219" s="5" t="str">
        <f>HYPERLINK("mailto:mike.shadix@gvs.ga.gov","mike.shadix@gvs.ga.gov")</f>
        <v>mike.shadix@gvs.ga.gov</v>
      </c>
    </row>
    <row r="1220" spans="1:6" ht="15">
      <c r="A1220" s="2" t="s">
        <v>1294</v>
      </c>
      <c r="B1220" s="1" t="s">
        <v>1295</v>
      </c>
      <c r="C1220" s="1" t="s">
        <v>1296</v>
      </c>
      <c r="D1220" s="1" t="s">
        <v>4663</v>
      </c>
      <c r="F1220" s="6" t="str">
        <f>HYPERLINK("http://www.ocrl.org/wc-home")</f>
        <v>http://www.ocrl.org/wc-home</v>
      </c>
    </row>
    <row r="1221" spans="1:6" ht="15">
      <c r="A1221" s="2" t="s">
        <v>904</v>
      </c>
      <c r="B1221" s="1" t="s">
        <v>905</v>
      </c>
      <c r="C1221" s="1" t="s">
        <v>906</v>
      </c>
      <c r="D1221" s="1" t="s">
        <v>4540</v>
      </c>
      <c r="E1221" s="5" t="str">
        <f>HYPERLINK("mailto:biehlb@seqlib.org","biehlb@seqlib.org")</f>
        <v>biehlb@seqlib.org</v>
      </c>
      <c r="F1221" s="6" t="str">
        <f>HYPERLINK("https://www.sequoyahregionallibrary.org/rose-creek/")</f>
        <v>https://www.sequoyahregionallibrary.org/rose-creek/</v>
      </c>
    </row>
    <row r="1222" spans="1:6" ht="15">
      <c r="A1222" s="2" t="s">
        <v>278</v>
      </c>
      <c r="B1222" s="1" t="s">
        <v>279</v>
      </c>
      <c r="C1222" s="1" t="s">
        <v>280</v>
      </c>
      <c r="D1222" s="1" t="s">
        <v>4358</v>
      </c>
      <c r="E1222" s="5" t="str">
        <f>HYPERLINK("mailto:roselawnga@comcast.net","roselawnga@comcast.net")</f>
        <v>roselawnga@comcast.net</v>
      </c>
      <c r="F1222" s="6" t="str">
        <f>HYPERLINK("http://www.roselawnmuseum.com/")</f>
        <v>http://www.roselawnmuseum.com/</v>
      </c>
    </row>
    <row r="1223" spans="1:6" ht="15">
      <c r="A1223" s="2" t="s">
        <v>2061</v>
      </c>
      <c r="B1223" s="1" t="s">
        <v>2062</v>
      </c>
      <c r="C1223" s="1" t="s">
        <v>2063</v>
      </c>
      <c r="D1223" s="1" t="s">
        <v>4895</v>
      </c>
      <c r="F1223" s="6" t="str">
        <f>HYPERLINK("https://www.chrl.org/rossville-public-library/")</f>
        <v>https://www.chrl.org/rossville-public-library/</v>
      </c>
    </row>
    <row r="1224" spans="1:6" ht="30">
      <c r="A1224" s="2" t="s">
        <v>3989</v>
      </c>
      <c r="B1224" s="1" t="s">
        <v>3990</v>
      </c>
      <c r="C1224" s="1" t="s">
        <v>3991</v>
      </c>
      <c r="D1224" s="1" t="s">
        <v>5419</v>
      </c>
      <c r="E1224" s="5" t="str">
        <f>HYPERLINK("mailto:edeniro@roswellgov.com","edeniro@roswellgov.com")</f>
        <v>edeniro@roswellgov.com</v>
      </c>
      <c r="F1224" s="6" t="str">
        <f>HYPERLINK("https://www.roswellgov.com/discover-us/cultural-arts-center/additional-information/roswell-archives-and-research-library")</f>
        <v>https://www.roswellgov.com/discover-us/cultural-arts-center/additional-information/roswell-archives-and-research-library</v>
      </c>
    </row>
    <row r="1225" spans="1:8" ht="15">
      <c r="A1225" s="2" t="s">
        <v>4226</v>
      </c>
      <c r="D1225" s="1" t="s">
        <v>5507</v>
      </c>
      <c r="E1225" s="5" t="str">
        <f>HYPERLINK("mailto:admin@roswellartsfund.org","admin@roswellartsfund.org")</f>
        <v>admin@roswellartsfund.org</v>
      </c>
      <c r="F1225" s="6" t="str">
        <f>HYPERLINK("http://www.roswellartsfund.org/")</f>
        <v>http://www.roswellartsfund.org/</v>
      </c>
      <c r="G1225" s="5" t="str">
        <f>HYPERLINK("https://www.facebook.com/RoswellArts")</f>
        <v>https://www.facebook.com/RoswellArts</v>
      </c>
      <c r="H1225" s="5" t="str">
        <f>HYPERLINK("https://twitter.com/ArtAroundRos")</f>
        <v>https://twitter.com/ArtAroundRos</v>
      </c>
    </row>
    <row r="1226" spans="1:6" ht="15">
      <c r="A1226" s="2" t="s">
        <v>1168</v>
      </c>
      <c r="B1226" s="1" t="s">
        <v>1169</v>
      </c>
      <c r="C1226" s="1" t="s">
        <v>1170</v>
      </c>
      <c r="D1226" s="1" t="s">
        <v>4626</v>
      </c>
      <c r="F1226" s="6" t="str">
        <f>HYPERLINK("http://afpls.org/roswell-branch6")</f>
        <v>http://afpls.org/roswell-branch6</v>
      </c>
    </row>
    <row r="1227" spans="1:6" ht="30">
      <c r="A1227" s="2" t="s">
        <v>2805</v>
      </c>
      <c r="B1227" s="1" t="s">
        <v>2806</v>
      </c>
      <c r="C1227" s="1" t="s">
        <v>2807</v>
      </c>
      <c r="D1227" s="1" t="s">
        <v>5108</v>
      </c>
      <c r="E1227" s="5" t="str">
        <f>HYPERLINK("mailto:GA_Roswell@ldsmail.net","GA_Roswell@ldsmail.net")</f>
        <v>GA_Roswell@ldsmail.net</v>
      </c>
      <c r="F1227" s="6" t="str">
        <f>HYPERLINK("https://www.familysearch.org/wiki/en/Roswell_Georgia_Family_History_Center")</f>
        <v>https://www.familysearch.org/wiki/en/Roswell_Georgia_Family_History_Center</v>
      </c>
    </row>
    <row r="1228" spans="1:7" ht="15">
      <c r="A1228" s="2" t="s">
        <v>1954</v>
      </c>
      <c r="B1228" s="1" t="s">
        <v>224</v>
      </c>
      <c r="C1228" s="1" t="s">
        <v>1955</v>
      </c>
      <c r="D1228" s="1" t="s">
        <v>4861</v>
      </c>
      <c r="E1228" s="5" t="str">
        <f>HYPERLINK("mailto:societyrhs@gmail.com","societyrhs@gmail.com")</f>
        <v>societyrhs@gmail.com</v>
      </c>
      <c r="F1228" s="6" t="str">
        <f>HYPERLINK("http://www.roswellhistoricalsociety.org")</f>
        <v>http://www.roswellhistoricalsociety.org</v>
      </c>
      <c r="G1228" s="5" t="str">
        <f>HYPERLINK("https://www.facebook.com/RoswellHistoricalSociety")</f>
        <v>https://www.facebook.com/RoswellHistoricalSociety</v>
      </c>
    </row>
    <row r="1229" spans="1:6" ht="15">
      <c r="A1229" s="2" t="s">
        <v>922</v>
      </c>
      <c r="B1229" s="1" t="s">
        <v>923</v>
      </c>
      <c r="C1229" s="1" t="s">
        <v>924</v>
      </c>
      <c r="D1229" s="1" t="s">
        <v>4546</v>
      </c>
      <c r="F1229" s="6" t="str">
        <f>HYPERLINK("http://www.athenslibrary.org/royston")</f>
        <v>http://www.athenslibrary.org/royston</v>
      </c>
    </row>
    <row r="1230" spans="1:6" ht="15">
      <c r="A1230" s="2" t="s">
        <v>871</v>
      </c>
      <c r="B1230" s="1" t="s">
        <v>872</v>
      </c>
      <c r="C1230" s="1" t="s">
        <v>873</v>
      </c>
      <c r="D1230" s="1" t="s">
        <v>4529</v>
      </c>
      <c r="E1230" s="5" t="str">
        <f>HYPERLINK("mailto:lburton@wgrls.org","lburton@wgrls.org")</f>
        <v>lburton@wgrls.org</v>
      </c>
      <c r="F1230" s="6" t="str">
        <f>HYPERLINK("http://www.wgrls.org/visit/ruth-holder-public-library/")</f>
        <v>http://www.wgrls.org/visit/ruth-holder-public-library/</v>
      </c>
    </row>
    <row r="1231" spans="1:5" ht="15">
      <c r="A1231" s="2" t="s">
        <v>3126</v>
      </c>
      <c r="B1231" s="1" t="s">
        <v>3127</v>
      </c>
      <c r="C1231" s="1" t="s">
        <v>3128</v>
      </c>
      <c r="D1231" s="1" t="s">
        <v>4989</v>
      </c>
      <c r="E1231" s="5" t="str">
        <f>HYPERLINK("mailto:info@andersonvillegeorgia.info","info@andersonvillegeorgia.info")</f>
        <v>info@andersonvillegeorgia.info</v>
      </c>
    </row>
    <row r="1232" spans="1:6" ht="15">
      <c r="A1232" s="2" t="s">
        <v>1348</v>
      </c>
      <c r="B1232" s="1" t="s">
        <v>1349</v>
      </c>
      <c r="C1232" s="1" t="s">
        <v>1350</v>
      </c>
      <c r="D1232" s="1" t="s">
        <v>4681</v>
      </c>
      <c r="F1232" s="6" t="str">
        <f>HYPERLINK("http://www.desototrail.org/sale-city-public-library.html")</f>
        <v>http://www.desototrail.org/sale-city-public-library.html</v>
      </c>
    </row>
    <row r="1233" spans="1:6" ht="15">
      <c r="A1233" s="2" t="s">
        <v>1051</v>
      </c>
      <c r="B1233" s="1" t="s">
        <v>1052</v>
      </c>
      <c r="C1233" s="1" t="s">
        <v>1053</v>
      </c>
      <c r="D1233" s="1" t="s">
        <v>4588</v>
      </c>
      <c r="F1233" s="6" t="str">
        <f>HYPERLINK("https://dekalblibrary.org/branches/sapa")</f>
        <v>https://dekalblibrary.org/branches/sapa</v>
      </c>
    </row>
    <row r="1234" spans="1:6" ht="15">
      <c r="A1234" s="2" t="s">
        <v>1303</v>
      </c>
      <c r="B1234" s="1" t="s">
        <v>1304</v>
      </c>
      <c r="C1234" s="1" t="s">
        <v>1305</v>
      </c>
      <c r="D1234" s="1" t="s">
        <v>4666</v>
      </c>
      <c r="F1234" s="6" t="str">
        <f>HYPERLINK("https://sgrl.org/locations/salter-hahira-library/")</f>
        <v>https://sgrl.org/locations/salter-hahira-library/</v>
      </c>
    </row>
    <row r="1235" spans="1:7" ht="15">
      <c r="A1235" s="2" t="s">
        <v>4236</v>
      </c>
      <c r="B1235" s="1" t="s">
        <v>4237</v>
      </c>
      <c r="C1235" s="1" t="s">
        <v>4238</v>
      </c>
      <c r="D1235" s="1" t="s">
        <v>5511</v>
      </c>
      <c r="E1235" s="5" t="str">
        <f>HYPERLINK("mailto:info@saltwaterpac.com","info@saltwaterpac.com")</f>
        <v>info@saltwaterpac.com</v>
      </c>
      <c r="F1235" s="6" t="str">
        <f>HYPERLINK("https://www.saltwaterpac.org/")</f>
        <v>https://www.saltwaterpac.org/</v>
      </c>
      <c r="G1235" s="5" t="str">
        <f>HYPERLINK("https://www.facebook.com/stmaryschildrenstheatre")</f>
        <v>https://www.facebook.com/stmaryschildrenstheatre</v>
      </c>
    </row>
    <row r="1236" spans="1:6" ht="15">
      <c r="A1236" s="2" t="s">
        <v>1880</v>
      </c>
      <c r="B1236" s="1" t="s">
        <v>1881</v>
      </c>
      <c r="C1236" s="1" t="s">
        <v>1882</v>
      </c>
      <c r="D1236" s="1" t="s">
        <v>4838</v>
      </c>
      <c r="E1236" s="5" t="str">
        <f>HYPERLINK("mailto:historical.center@uss.salvationarmy.org","historical.center@uss.salvationarmy.org")</f>
        <v>historical.center@uss.salvationarmy.org</v>
      </c>
      <c r="F1236" s="6" t="str">
        <f>HYPERLINK("http://www.salvationarmyhistory.org")</f>
        <v>http://www.salvationarmyhistory.org</v>
      </c>
    </row>
    <row r="1237" spans="1:6" ht="15">
      <c r="A1237" s="2" t="s">
        <v>1728</v>
      </c>
      <c r="B1237" s="1" t="s">
        <v>1729</v>
      </c>
      <c r="C1237" s="1" t="s">
        <v>1730</v>
      </c>
      <c r="D1237" s="1" t="s">
        <v>4789</v>
      </c>
      <c r="F1237" s="6" t="str">
        <f>HYPERLINK("https://wacohistorical.org/sandersville-school/")</f>
        <v>https://wacohistorical.org/sandersville-school/</v>
      </c>
    </row>
    <row r="1238" spans="1:6" ht="15">
      <c r="A1238" s="2" t="s">
        <v>1171</v>
      </c>
      <c r="B1238" s="1" t="s">
        <v>1172</v>
      </c>
      <c r="C1238" s="1" t="s">
        <v>1173</v>
      </c>
      <c r="D1238" s="1" t="s">
        <v>4627</v>
      </c>
      <c r="F1238" s="6" t="str">
        <f>HYPERLINK("http://afpls.org/sandy-springs-branch6")</f>
        <v>http://afpls.org/sandy-springs-branch6</v>
      </c>
    </row>
    <row r="1239" spans="1:6" ht="15">
      <c r="A1239" s="2" t="s">
        <v>1636</v>
      </c>
      <c r="B1239" s="1" t="s">
        <v>1637</v>
      </c>
      <c r="C1239" s="1" t="s">
        <v>1638</v>
      </c>
      <c r="D1239" s="1" t="s">
        <v>4765</v>
      </c>
      <c r="F1239" s="6" t="str">
        <f>HYPERLINK("https://gchrl.org/branches/sardis-branch-library/")</f>
        <v>https://gchrl.org/branches/sardis-branch-library/</v>
      </c>
    </row>
    <row r="1240" spans="1:6" ht="15">
      <c r="A1240" s="2" t="s">
        <v>2934</v>
      </c>
      <c r="E1240" s="5" t="str">
        <f>HYPERLINK("mailto:gasaga@comcast.net","gasaga@comcast.net")</f>
        <v>gasaga@comcast.net</v>
      </c>
      <c r="F1240" s="6" t="str">
        <f>HYPERLINK("http://sites.rootsweb.com/~gasaga/")</f>
        <v>http://sites.rootsweb.com/~gasaga/</v>
      </c>
    </row>
    <row r="1241" spans="1:6" ht="15">
      <c r="A1241" s="2" t="s">
        <v>2366</v>
      </c>
      <c r="B1241" s="1" t="s">
        <v>2367</v>
      </c>
      <c r="C1241" s="1" t="s">
        <v>2368</v>
      </c>
      <c r="D1241" s="1" t="s">
        <v>4974</v>
      </c>
      <c r="E1241" s="5" t="str">
        <f>HYPERLINK("mailto:sacgc1388@botanical.comcastbiz.net","sacgc1388@botanical.comcastbiz.net")</f>
        <v>sacgc1388@botanical.comcastbiz.net</v>
      </c>
      <c r="F1241" s="6" t="str">
        <f>HYPERLINK("https://www.savannahbotanical.org/")</f>
        <v>https://www.savannahbotanical.org/</v>
      </c>
    </row>
    <row r="1242" spans="1:7" ht="15">
      <c r="A1242" s="2" t="s">
        <v>1685</v>
      </c>
      <c r="B1242" s="1" t="s">
        <v>1686</v>
      </c>
      <c r="C1242" s="1" t="s">
        <v>1687</v>
      </c>
      <c r="D1242" s="1" t="s">
        <v>4781</v>
      </c>
      <c r="E1242" s="5" t="str">
        <f>HYPERLINK("mailto:admin@chsgeorgia.org","admin@chsgeorgia.org")</f>
        <v>admin@chsgeorgia.org</v>
      </c>
      <c r="F1242" s="6" t="str">
        <f>HYPERLINK("http://chsgeorgia.org/SCM/")</f>
        <v>http://chsgeorgia.org/SCM/</v>
      </c>
      <c r="G1242" s="5" t="str">
        <f>HYPERLINK("https://www.facebook.com/SavannahChildrensMuseum")</f>
        <v>https://www.facebook.com/SavannahChildrensMuseum</v>
      </c>
    </row>
    <row r="1243" spans="1:7" ht="15">
      <c r="A1243" s="2" t="s">
        <v>3513</v>
      </c>
      <c r="F1243" s="6" t="str">
        <f>HYPERLINK("https://sheronline.info/")</f>
        <v>https://sheronline.info/</v>
      </c>
      <c r="G1243" s="5" t="str">
        <f>HYPERLINK("https://www.facebook.com/savannahheritageER")</f>
        <v>https://www.facebook.com/savannahheritageER</v>
      </c>
    </row>
    <row r="1244" spans="1:7" ht="15">
      <c r="A1244" s="2" t="s">
        <v>1688</v>
      </c>
      <c r="B1244" s="1" t="s">
        <v>1689</v>
      </c>
      <c r="C1244" s="1" t="s">
        <v>1690</v>
      </c>
      <c r="D1244" s="1" t="s">
        <v>4782</v>
      </c>
      <c r="E1244" s="5" t="str">
        <f>HYPERLINK("mailto:admin@chsgeorgia.org","admin@chsgeorgia.org")</f>
        <v>admin@chsgeorgia.org</v>
      </c>
      <c r="F1244" s="6" t="str">
        <f>HYPERLINK("http://www.chsgeorgia.org/SHM")</f>
        <v>http://www.chsgeorgia.org/SHM</v>
      </c>
      <c r="G1244" s="5" t="str">
        <f>HYPERLINK("https://www.facebook.com/savannahhistorymuseum")</f>
        <v>https://www.facebook.com/savannahhistorymuseum</v>
      </c>
    </row>
    <row r="1245" spans="1:7" ht="15">
      <c r="A1245" s="2" t="s">
        <v>4088</v>
      </c>
      <c r="D1245" s="1" t="s">
        <v>5456</v>
      </c>
      <c r="E1245" s="5" t="str">
        <f>HYPERLINK("mailto:paula@coastaljazz.org","paula@coastaljazz.org")</f>
        <v>paula@coastaljazz.org</v>
      </c>
      <c r="F1245" s="6" t="str">
        <f>HYPERLINK("http://savannahjazz.org/")</f>
        <v>http://savannahjazz.org/</v>
      </c>
      <c r="G1245" s="5" t="str">
        <f>HYPERLINK("https://www.facebook.com/savjazzfest")</f>
        <v>https://www.facebook.com/savjazzfest</v>
      </c>
    </row>
    <row r="1246" spans="1:6" ht="15">
      <c r="A1246" s="2" t="s">
        <v>2935</v>
      </c>
      <c r="B1246" s="1" t="s">
        <v>2936</v>
      </c>
      <c r="C1246" s="1" t="s">
        <v>2350</v>
      </c>
      <c r="D1246" s="1" t="s">
        <v>4968</v>
      </c>
      <c r="F1246" s="6" t="str">
        <f>HYPERLINK("https://www.savj.org/savannah-jewish-archives")</f>
        <v>https://www.savj.org/savannah-jewish-archives</v>
      </c>
    </row>
    <row r="1247" spans="1:6" ht="15">
      <c r="A1247" s="2" t="s">
        <v>530</v>
      </c>
      <c r="B1247" s="1" t="s">
        <v>531</v>
      </c>
      <c r="C1247" s="1" t="s">
        <v>532</v>
      </c>
      <c r="D1247" s="1" t="s">
        <v>4427</v>
      </c>
      <c r="F1247" s="6" t="str">
        <f>HYPERLINK("https://www.savj.org/")</f>
        <v>https://www.savj.org/</v>
      </c>
    </row>
    <row r="1248" spans="1:4" ht="15">
      <c r="A1248" s="2" t="s">
        <v>2393</v>
      </c>
      <c r="B1248" s="1" t="s">
        <v>2394</v>
      </c>
      <c r="C1248" s="1" t="s">
        <v>2395</v>
      </c>
      <c r="D1248" s="1" t="s">
        <v>4981</v>
      </c>
    </row>
    <row r="1249" spans="1:6" ht="15">
      <c r="A1249" s="2" t="s">
        <v>2937</v>
      </c>
      <c r="D1249" s="1" t="s">
        <v>5147</v>
      </c>
      <c r="E1249" s="5" t="str">
        <f>HYPERLINK("mailto:davidr@hartcom.net","davidr@hartcom.net")</f>
        <v>davidr@hartcom.net</v>
      </c>
      <c r="F1249" s="6" t="str">
        <f>HYPERLINK("http://srvg.org/")</f>
        <v>http://srvg.org/</v>
      </c>
    </row>
    <row r="1250" spans="1:6" ht="30">
      <c r="A1250" s="2" t="s">
        <v>3382</v>
      </c>
      <c r="B1250" s="1" t="s">
        <v>3383</v>
      </c>
      <c r="C1250" s="1" t="s">
        <v>3384</v>
      </c>
      <c r="D1250" s="1" t="s">
        <v>5270</v>
      </c>
      <c r="F1250" s="6" t="str">
        <f>HYPERLINK("https://www.savannahtech.edu/campuses/effingham/")</f>
        <v>https://www.savannahtech.edu/campuses/effingham/</v>
      </c>
    </row>
    <row r="1251" spans="1:6" ht="15">
      <c r="A1251" s="2" t="s">
        <v>3379</v>
      </c>
      <c r="B1251" s="1" t="s">
        <v>3380</v>
      </c>
      <c r="C1251" s="1" t="s">
        <v>3381</v>
      </c>
      <c r="D1251" s="1" t="s">
        <v>5269</v>
      </c>
      <c r="F1251" s="6" t="str">
        <f>HYPERLINK("https://www.savannahtech.edu/campuses/liberty/")</f>
        <v>https://www.savannahtech.edu/campuses/liberty/</v>
      </c>
    </row>
    <row r="1252" spans="1:6" ht="15">
      <c r="A1252" s="2" t="s">
        <v>3376</v>
      </c>
      <c r="B1252" s="1" t="s">
        <v>3377</v>
      </c>
      <c r="C1252" s="1" t="s">
        <v>3378</v>
      </c>
      <c r="D1252" s="1" t="s">
        <v>5268</v>
      </c>
      <c r="F1252" s="6" t="str">
        <f>HYPERLINK("https://www.savannahtech.edu/academics/library/")</f>
        <v>https://www.savannahtech.edu/academics/library/</v>
      </c>
    </row>
    <row r="1253" spans="1:6" ht="30">
      <c r="A1253" s="2" t="s">
        <v>2938</v>
      </c>
      <c r="B1253" s="1" t="s">
        <v>2394</v>
      </c>
      <c r="C1253" s="1" t="s">
        <v>2395</v>
      </c>
      <c r="D1253" s="1" t="s">
        <v>4981</v>
      </c>
      <c r="E1253" s="5" t="str">
        <f>HYPERLINK("mailto:info@savannahogeecheecanal.com","info@savannahogeecheecanal.com")</f>
        <v>info@savannahogeecheecanal.com</v>
      </c>
      <c r="F1253" s="6" t="str">
        <f>HYPERLINK("http://www.socanalmuseum.com/")</f>
        <v>http://www.socanalmuseum.com/</v>
      </c>
    </row>
    <row r="1254" spans="1:8" ht="15">
      <c r="A1254" s="2" t="s">
        <v>97</v>
      </c>
      <c r="B1254" s="1" t="s">
        <v>98</v>
      </c>
      <c r="C1254" s="1" t="s">
        <v>99</v>
      </c>
      <c r="D1254" s="1" t="s">
        <v>4317</v>
      </c>
      <c r="E1254" s="5" t="str">
        <f>HYPERLINK("mailto:info@savoymuseum.org","info@savoymuseum.org")</f>
        <v>info@savoymuseum.org</v>
      </c>
      <c r="F1254" s="6" t="str">
        <f>HYPERLINK("https://savoymuseum.org/")</f>
        <v>https://savoymuseum.org/</v>
      </c>
      <c r="G1254" s="5" t="str">
        <f>HYPERLINK("https://www.facebook.com/savoyautomuseum")</f>
        <v>https://www.facebook.com/savoyautomuseum</v>
      </c>
      <c r="H1254" s="5" t="str">
        <f>HYPERLINK("https://twitter.com/savoyautomuseum")</f>
        <v>https://twitter.com/savoyautomuseum</v>
      </c>
    </row>
    <row r="1255" spans="1:6" ht="15">
      <c r="A1255" s="2" t="s">
        <v>3910</v>
      </c>
      <c r="B1255" s="1" t="s">
        <v>3911</v>
      </c>
      <c r="C1255" s="1" t="s">
        <v>3912</v>
      </c>
      <c r="D1255" s="1" t="s">
        <v>5400</v>
      </c>
      <c r="E1255" s="5" t="str">
        <f>HYPERLINK("mailto:scadfash@scad.edu","scadfash@scad.edu")</f>
        <v>scadfash@scad.edu</v>
      </c>
      <c r="F1255" s="6" t="str">
        <f>HYPERLINK("https://www.scadfash.org/")</f>
        <v>https://www.scadfash.org/</v>
      </c>
    </row>
    <row r="1256" spans="1:6" ht="15">
      <c r="A1256" s="2" t="s">
        <v>275</v>
      </c>
      <c r="B1256" s="1" t="s">
        <v>276</v>
      </c>
      <c r="C1256" s="1" t="s">
        <v>277</v>
      </c>
      <c r="D1256" s="1" t="s">
        <v>4357</v>
      </c>
      <c r="E1256" s="5" t="str">
        <f>HYPERLINK("mailto:scadmoa@scad.edu","scadmoa@scad.edu")</f>
        <v>scadmoa@scad.edu</v>
      </c>
      <c r="F1256" s="6" t="str">
        <f>HYPERLINK("https://www.scadmoa.org/")</f>
        <v>https://www.scadmoa.org/</v>
      </c>
    </row>
    <row r="1257" spans="1:6" ht="15">
      <c r="A1257" s="2" t="s">
        <v>1444</v>
      </c>
      <c r="B1257" s="1" t="s">
        <v>1445</v>
      </c>
      <c r="C1257" s="1" t="s">
        <v>1446</v>
      </c>
      <c r="D1257" s="1" t="s">
        <v>4712</v>
      </c>
      <c r="F1257" s="6" t="str">
        <f>HYPERLINK("https://www.lbrls.org/schley-county")</f>
        <v>https://www.lbrls.org/schley-county</v>
      </c>
    </row>
    <row r="1258" spans="1:5" ht="15">
      <c r="A1258" s="2" t="s">
        <v>3992</v>
      </c>
      <c r="B1258" s="1" t="s">
        <v>3993</v>
      </c>
      <c r="C1258" s="1" t="s">
        <v>3994</v>
      </c>
      <c r="D1258" s="1" t="s">
        <v>5420</v>
      </c>
      <c r="E1258" s="5" t="str">
        <f>HYPERLINK("mailto:scicomm@emory.edu","scicomm@emory.edu")</f>
        <v>scicomm@emory.edu</v>
      </c>
    </row>
    <row r="1259" spans="1:6" ht="15">
      <c r="A1259" s="2" t="s">
        <v>1054</v>
      </c>
      <c r="B1259" s="1" t="s">
        <v>1055</v>
      </c>
      <c r="C1259" s="1" t="s">
        <v>1056</v>
      </c>
      <c r="D1259" s="1" t="s">
        <v>4589</v>
      </c>
      <c r="F1259" s="6" t="str">
        <f>HYPERLINK("https://dekalblibrary.org/branches/cand")</f>
        <v>https://dekalblibrary.org/branches/cand</v>
      </c>
    </row>
    <row r="1260" spans="1:6" ht="15">
      <c r="A1260" s="2" t="s">
        <v>1060</v>
      </c>
      <c r="B1260" s="1" t="s">
        <v>1061</v>
      </c>
      <c r="C1260" s="1" t="s">
        <v>1062</v>
      </c>
      <c r="D1260" s="1" t="s">
        <v>4591</v>
      </c>
      <c r="F1260" s="6" t="str">
        <f>HYPERLINK("https://dekalblibrary.org/branches/gran")</f>
        <v>https://dekalblibrary.org/branches/gran</v>
      </c>
    </row>
    <row r="1261" spans="1:7" ht="15">
      <c r="A1261" s="2" t="s">
        <v>3486</v>
      </c>
      <c r="B1261" s="1" t="s">
        <v>3487</v>
      </c>
      <c r="C1261" s="1" t="s">
        <v>3488</v>
      </c>
      <c r="E1261" s="5" t="str">
        <f>HYPERLINK("mailto:scotti3275@aol.com","scotti3275@aol.com")</f>
        <v>scotti3275@aol.com</v>
      </c>
      <c r="G1261" s="5" t="str">
        <f>HYPERLINK("https://www.facebook.com/Screven-County-History-Buffs-109091617154632")</f>
        <v>https://www.facebook.com/Screven-County-History-Buffs-109091617154632</v>
      </c>
    </row>
    <row r="1262" spans="1:6" ht="15">
      <c r="A1262" s="2" t="s">
        <v>1414</v>
      </c>
      <c r="B1262" s="1" t="s">
        <v>1415</v>
      </c>
      <c r="C1262" s="1" t="s">
        <v>1416</v>
      </c>
      <c r="D1262" s="1" t="s">
        <v>4702</v>
      </c>
      <c r="F1262" s="6" t="str">
        <f>HYPERLINK("http://www.sjrls.org/")</f>
        <v>http://www.sjrls.org/</v>
      </c>
    </row>
    <row r="1263" spans="1:6" ht="15">
      <c r="A1263" s="2" t="s">
        <v>3796</v>
      </c>
      <c r="B1263" s="1" t="s">
        <v>3797</v>
      </c>
      <c r="C1263" s="1" t="s">
        <v>3798</v>
      </c>
      <c r="D1263" s="1" t="s">
        <v>5375</v>
      </c>
      <c r="E1263" s="5" t="str">
        <f>HYPERLINK("mailto:scott@seabrookvillagefoundation.org","scott@seabrookvillagefoundation.org")</f>
        <v>scott@seabrookvillagefoundation.org</v>
      </c>
      <c r="F1263" s="6" t="str">
        <f>HYPERLINK("http://www.seabrookvillagefoundation.org/")</f>
        <v>http://www.seabrookvillagefoundation.org/</v>
      </c>
    </row>
    <row r="1264" spans="1:6" ht="15">
      <c r="A1264" s="2" t="s">
        <v>379</v>
      </c>
      <c r="B1264" s="1" t="s">
        <v>380</v>
      </c>
      <c r="C1264" s="1" t="s">
        <v>381</v>
      </c>
      <c r="D1264" s="1" t="s">
        <v>4386</v>
      </c>
      <c r="E1264" s="5" t="str">
        <f>HYPERLINK("mailto:aternak@tfc.edu","aternak@tfc.edu")</f>
        <v>aternak@tfc.edu</v>
      </c>
      <c r="F1264" s="6" t="str">
        <f>HYPERLINK("https://tfc.edu/academics/library/")</f>
        <v>https://tfc.edu/academics/library/</v>
      </c>
    </row>
    <row r="1265" spans="1:3" ht="15">
      <c r="A1265" s="2" t="s">
        <v>2287</v>
      </c>
      <c r="B1265" s="1" t="s">
        <v>2288</v>
      </c>
      <c r="C1265" s="1" t="s">
        <v>2289</v>
      </c>
    </row>
    <row r="1266" spans="1:6" ht="15">
      <c r="A1266" s="2" t="s">
        <v>1018</v>
      </c>
      <c r="B1266" s="1" t="s">
        <v>1019</v>
      </c>
      <c r="C1266" s="1" t="s">
        <v>1020</v>
      </c>
      <c r="D1266" s="1" t="s">
        <v>4577</v>
      </c>
      <c r="F1266" s="6" t="str">
        <f>HYPERLINK("http://www.swgrl.org/locations-staff/seminole/")</f>
        <v>http://www.swgrl.org/locations-staff/seminole/</v>
      </c>
    </row>
    <row r="1267" spans="1:6" ht="15">
      <c r="A1267" s="2" t="s">
        <v>1705</v>
      </c>
      <c r="B1267" s="1" t="s">
        <v>1706</v>
      </c>
      <c r="C1267" s="1" t="s">
        <v>1707</v>
      </c>
      <c r="E1267" s="5" t="str">
        <f>HYPERLINK("mailto:senoiaareahistoricalsociety@gmail.com","senoiaareahistoricalsociety@gmail.com")</f>
        <v>senoiaareahistoricalsociety@gmail.com</v>
      </c>
      <c r="F1267" s="6" t="str">
        <f>HYPERLINK("http://www.senoiaareahistoricalsociety.org/museum.html")</f>
        <v>http://www.senoiaareahistoricalsociety.org/museum.html</v>
      </c>
    </row>
    <row r="1268" spans="1:6" ht="15">
      <c r="A1268" s="2" t="s">
        <v>1886</v>
      </c>
      <c r="B1268" s="1" t="s">
        <v>1706</v>
      </c>
      <c r="C1268" s="1" t="s">
        <v>1887</v>
      </c>
      <c r="E1268" s="5" t="str">
        <f>HYPERLINK("mailto:senoiaareahistoricalsociety@gmail.com","senoiaareahistoricalsociety@gmail.com")</f>
        <v>senoiaareahistoricalsociety@gmail.com</v>
      </c>
      <c r="F1268" s="6" t="str">
        <f>HYPERLINK("http://www.senoiaareahistoricalsociety.org/home.html")</f>
        <v>http://www.senoiaareahistoricalsociety.org/home.html</v>
      </c>
    </row>
    <row r="1269" spans="1:6" ht="30">
      <c r="A1269" s="2" t="s">
        <v>1624</v>
      </c>
      <c r="B1269" s="1" t="s">
        <v>1625</v>
      </c>
      <c r="C1269" s="1" t="s">
        <v>1626</v>
      </c>
      <c r="D1269" s="1" t="s">
        <v>4761</v>
      </c>
      <c r="F1269" s="6" t="str">
        <f>HYPERLINK("http://cowt.ent.sirsi.net/client/en_US/default/?rm=SENOIA+BRANCH0%7C%7C%7C1%7C%7C%7C0%7C%7C%7Ctrue&amp;dt=list")</f>
        <v>http://cowt.ent.sirsi.net/client/en_US/default/?rm=SENOIA+BRANCH0%7C%7C%7C1%7C%7C%7C0%7C%7C%7Ctrue&amp;dt=list</v>
      </c>
    </row>
    <row r="1270" spans="1:7" ht="30">
      <c r="A1270" s="2" t="s">
        <v>4227</v>
      </c>
      <c r="B1270" s="1" t="s">
        <v>4228</v>
      </c>
      <c r="C1270" s="1" t="s">
        <v>4229</v>
      </c>
      <c r="D1270" s="1" t="s">
        <v>5508</v>
      </c>
      <c r="E1270" s="5" t="str">
        <f>HYPERLINK("mailto:stephanie@serenbeinstitute.com","stephanie@serenbeinstitute.com")</f>
        <v>stephanie@serenbeinstitute.com</v>
      </c>
      <c r="F1270" s="6" t="str">
        <f>HYPERLINK("https://www.serenbeinstitute.org/")</f>
        <v>https://www.serenbeinstitute.org/</v>
      </c>
      <c r="G1270" s="5" t="str">
        <f>HYPERLINK("https://www.facebook.com/serenbeinstitute")</f>
        <v>https://www.facebook.com/serenbeinstitute</v>
      </c>
    </row>
    <row r="1271" spans="1:6" ht="15">
      <c r="A1271" s="2" t="s">
        <v>3799</v>
      </c>
      <c r="D1271" s="1" t="s">
        <v>5149</v>
      </c>
      <c r="F1271" s="6" t="str">
        <f>HYPERLINK("http://sevenspringsmuseum.org/membership/")</f>
        <v>http://sevenspringsmuseum.org/membership/</v>
      </c>
    </row>
    <row r="1272" spans="1:6" ht="30">
      <c r="A1272" s="2" t="s">
        <v>2940</v>
      </c>
      <c r="B1272" s="1" t="s">
        <v>2941</v>
      </c>
      <c r="C1272" s="1" t="s">
        <v>2942</v>
      </c>
      <c r="D1272" s="1" t="s">
        <v>5149</v>
      </c>
      <c r="E1272" s="5" t="str">
        <f>HYPERLINK("mailto:7springsmuseum@att.net","7springsmuseum@att.net")</f>
        <v>7springsmuseum@att.net</v>
      </c>
      <c r="F1272" s="6" t="str">
        <f>HYPERLINK("https://sevenspringsmuseum.org/")</f>
        <v>https://sevenspringsmuseum.org/</v>
      </c>
    </row>
    <row r="1273" spans="1:6" ht="15">
      <c r="A1273" s="2" t="s">
        <v>2070</v>
      </c>
      <c r="B1273" s="1" t="s">
        <v>953</v>
      </c>
      <c r="C1273" s="1" t="s">
        <v>2071</v>
      </c>
      <c r="D1273" s="1" t="s">
        <v>4556</v>
      </c>
      <c r="F1273" s="6" t="str">
        <f>HYPERLINK("http://www.cobbcat.org/venue/sewell-mill-library-cultural-center/")</f>
        <v>http://www.cobbcat.org/venue/sewell-mill-library-cultural-center/</v>
      </c>
    </row>
    <row r="1274" spans="1:7" ht="15">
      <c r="A1274" s="2" t="s">
        <v>1585</v>
      </c>
      <c r="B1274" s="1" t="s">
        <v>1586</v>
      </c>
      <c r="C1274" s="1" t="s">
        <v>1587</v>
      </c>
      <c r="D1274" s="1" t="s">
        <v>4361</v>
      </c>
      <c r="E1274" s="5" t="str">
        <f>HYPERLINK("mailto:Ask_a_Librarian@forsythpl.org","Ask_a_Librarian@forsythpl.org")</f>
        <v>Ask_a_Librarian@forsythpl.org</v>
      </c>
      <c r="F1274" s="6" t="str">
        <f>HYPERLINK("https://www.forsythpl.org/sharon-forks-library")</f>
        <v>https://www.forsythpl.org/sharon-forks-library</v>
      </c>
      <c r="G1274" s="5" t="str">
        <f>HYPERLINK("https://www.facebook.com/forsythpl")</f>
        <v>https://www.facebook.com/forsythpl</v>
      </c>
    </row>
    <row r="1275" spans="1:6" ht="15">
      <c r="A1275" s="2" t="s">
        <v>3237</v>
      </c>
      <c r="B1275" s="1" t="s">
        <v>3238</v>
      </c>
      <c r="C1275" s="1" t="s">
        <v>3239</v>
      </c>
      <c r="D1275" s="1" t="s">
        <v>5230</v>
      </c>
      <c r="E1275" s="5" t="str">
        <f>HYPERLINK("mailto:eclibrary@ec.edu","eclibrary@ec.edu")</f>
        <v>eclibrary@ec.edu</v>
      </c>
      <c r="F1275" s="6" t="str">
        <f>HYPERLINK("https://ec.edu/library/")</f>
        <v>https://ec.edu/library/</v>
      </c>
    </row>
    <row r="1276" spans="1:6" ht="15">
      <c r="A1276" s="2" t="s">
        <v>1888</v>
      </c>
      <c r="B1276" s="1" t="s">
        <v>4299</v>
      </c>
      <c r="C1276" s="1" t="s">
        <v>1889</v>
      </c>
      <c r="D1276" s="1" t="s">
        <v>4840</v>
      </c>
      <c r="E1276" s="5" t="str">
        <f>HYPERLINK("mailto:info@shieldsethridgefarminc.com","info@shieldsethridgefarminc.com")</f>
        <v>info@shieldsethridgefarminc.com</v>
      </c>
      <c r="F1276" s="6" t="str">
        <f>HYPERLINK("http://shieldsethridgefarminc.com")</f>
        <v>http://shieldsethridgefarminc.com</v>
      </c>
    </row>
    <row r="1277" spans="1:6" ht="15">
      <c r="A1277" s="2" t="s">
        <v>1890</v>
      </c>
      <c r="B1277" s="1" t="s">
        <v>1891</v>
      </c>
      <c r="C1277" s="1" t="s">
        <v>1892</v>
      </c>
      <c r="D1277" s="1" t="s">
        <v>4841</v>
      </c>
      <c r="E1277" s="5" t="str">
        <f>HYPERLINK("mailto:contact@shipsofthesea.org","contact@shipsofthesea.org")</f>
        <v>contact@shipsofthesea.org</v>
      </c>
      <c r="F1277" s="6" t="str">
        <f>HYPERLINK("http://www.shipsofthesea.org")</f>
        <v>http://www.shipsofthesea.org</v>
      </c>
    </row>
    <row r="1278" spans="1:6" ht="15">
      <c r="A1278" s="2" t="s">
        <v>3191</v>
      </c>
      <c r="B1278" s="1" t="s">
        <v>3192</v>
      </c>
      <c r="C1278" s="1" t="s">
        <v>3193</v>
      </c>
      <c r="D1278" s="1" t="s">
        <v>5216</v>
      </c>
      <c r="F1278" s="6" t="str">
        <f>HYPERLINK("https://www.libs.uga.edu/science")</f>
        <v>https://www.libs.uga.edu/science</v>
      </c>
    </row>
    <row r="1279" spans="1:6" ht="15">
      <c r="A1279" s="2" t="s">
        <v>1893</v>
      </c>
      <c r="B1279" s="1" t="s">
        <v>4300</v>
      </c>
      <c r="C1279" s="1" t="s">
        <v>1894</v>
      </c>
      <c r="D1279" s="1" t="s">
        <v>4842</v>
      </c>
      <c r="E1279" s="5" t="str">
        <f>HYPERLINK("mailto:jshaffett@shorter.edu","jshaffett@shorter.edu")</f>
        <v>jshaffett@shorter.edu</v>
      </c>
      <c r="F1279" s="6" t="str">
        <f>HYPERLINK("https://www.shorter.edu/libraries/")</f>
        <v>https://www.shorter.edu/libraries/</v>
      </c>
    </row>
    <row r="1280" spans="1:6" ht="15">
      <c r="A1280" s="2" t="s">
        <v>796</v>
      </c>
      <c r="B1280" s="1" t="s">
        <v>797</v>
      </c>
      <c r="C1280" s="1" t="s">
        <v>798</v>
      </c>
      <c r="D1280" s="1" t="s">
        <v>4504</v>
      </c>
      <c r="F1280" s="6" t="str">
        <f>HYPERLINK("http://bibblib.org/locations/shurling-library/")</f>
        <v>http://bibblib.org/locations/shurling-library/</v>
      </c>
    </row>
    <row r="1281" spans="1:6" ht="15">
      <c r="A1281" s="2" t="s">
        <v>970</v>
      </c>
      <c r="B1281" s="1" t="s">
        <v>971</v>
      </c>
      <c r="C1281" s="1" t="s">
        <v>972</v>
      </c>
      <c r="D1281" s="1" t="s">
        <v>4562</v>
      </c>
      <c r="F1281" s="6" t="str">
        <f>HYPERLINK("http://www.cobbcat.org/venue/sibley-library/")</f>
        <v>http://www.cobbcat.org/venue/sibley-library/</v>
      </c>
    </row>
    <row r="1282" spans="1:6" ht="15">
      <c r="A1282" s="2" t="s">
        <v>3243</v>
      </c>
      <c r="B1282" s="1" t="s">
        <v>3244</v>
      </c>
      <c r="C1282" s="1" t="s">
        <v>3245</v>
      </c>
      <c r="D1282" s="1" t="s">
        <v>5232</v>
      </c>
      <c r="E1282" s="5" t="str">
        <f>HYPERLINK("mailto:enewton@gmc.edu","enewton@gmc.edu")</f>
        <v>enewton@gmc.edu</v>
      </c>
      <c r="F1282" s="6" t="str">
        <f>HYPERLINK("http://gmcga.libguides.com/milledgeville")</f>
        <v>http://gmcga.libguides.com/milledgeville</v>
      </c>
    </row>
    <row r="1283" spans="1:6" ht="15">
      <c r="A1283" s="2" t="s">
        <v>236</v>
      </c>
      <c r="B1283" s="1" t="s">
        <v>237</v>
      </c>
      <c r="C1283" s="1" t="s">
        <v>238</v>
      </c>
      <c r="D1283" s="1" t="s">
        <v>4349</v>
      </c>
      <c r="F1283" s="6" t="str">
        <f>HYPERLINK("https://www.sidneylaniercottage.org/")</f>
        <v>https://www.sidneylaniercottage.org/</v>
      </c>
    </row>
    <row r="1284" spans="1:6" ht="15">
      <c r="A1284" s="2" t="s">
        <v>3149</v>
      </c>
      <c r="B1284" s="1" t="s">
        <v>3150</v>
      </c>
      <c r="C1284" s="1" t="s">
        <v>3151</v>
      </c>
      <c r="D1284" s="1" t="s">
        <v>5205</v>
      </c>
      <c r="F1284" s="6" t="str">
        <f>HYPERLINK("https://library.columbusstate.edu/")</f>
        <v>https://library.columbusstate.edu/</v>
      </c>
    </row>
    <row r="1285" spans="1:6" ht="30">
      <c r="A1285" s="2" t="s">
        <v>2863</v>
      </c>
      <c r="B1285" s="1" t="s">
        <v>2861</v>
      </c>
      <c r="C1285" s="1" t="s">
        <v>2864</v>
      </c>
      <c r="D1285" s="1" t="s">
        <v>5128</v>
      </c>
      <c r="E1285" s="5" t="str">
        <f>HYPERLINK("mailto:reference.ill@GaIN.Mercer.edu","reference.ill@GaIN.Mercer.edu")</f>
        <v>reference.ill@GaIN.Mercer.edu</v>
      </c>
      <c r="F1285" s="6" t="str">
        <f>HYPERLINK("https://med.mercer.edu/library/aboutthelibrary2-macon.htm")</f>
        <v>https://med.mercer.edu/library/aboutthelibrary2-macon.htm</v>
      </c>
    </row>
    <row r="1286" spans="1:6" ht="30">
      <c r="A1286" s="2" t="s">
        <v>3088</v>
      </c>
      <c r="B1286" s="1" t="s">
        <v>3089</v>
      </c>
      <c r="C1286" s="1" t="s">
        <v>3090</v>
      </c>
      <c r="D1286" s="1" t="s">
        <v>5190</v>
      </c>
      <c r="E1286" s="5" t="str">
        <f>HYPERLINK("mailto:savmedlibrary@mercer.edu","savmedlibrary@mercer.edu")</f>
        <v>savmedlibrary@mercer.edu</v>
      </c>
      <c r="F1286" s="6" t="str">
        <f>HYPERLINK("https://med.mercer.edu/library/aboutthelibrary2-savannah.htm")</f>
        <v>https://med.mercer.edu/library/aboutthelibrary2-savannah.htm</v>
      </c>
    </row>
    <row r="1287" spans="1:6" ht="15">
      <c r="A1287" s="2" t="s">
        <v>3252</v>
      </c>
      <c r="B1287" s="1" t="s">
        <v>3253</v>
      </c>
      <c r="C1287" s="1" t="s">
        <v>3254</v>
      </c>
      <c r="D1287" s="1" t="s">
        <v>5235</v>
      </c>
      <c r="E1287" s="5" t="str">
        <f>HYPERLINK("mailto:library@lutherrice.edu","library@lutherrice.edu")</f>
        <v>library@lutherrice.edu</v>
      </c>
      <c r="F1287" s="6" t="str">
        <f>HYPERLINK("https://library.lutherrice.edu/")</f>
        <v>https://library.lutherrice.edu/</v>
      </c>
    </row>
    <row r="1288" spans="1:6" ht="15">
      <c r="A1288" s="2" t="s">
        <v>1895</v>
      </c>
      <c r="B1288" s="1" t="s">
        <v>1896</v>
      </c>
      <c r="C1288" s="1" t="s">
        <v>1897</v>
      </c>
      <c r="D1288" s="1" t="s">
        <v>4843</v>
      </c>
      <c r="E1288" s="5" t="str">
        <f>HYPERLINK("mailto:aparsons@kennesaw-ga.gov","aparsons@kennesaw-ga.gov")</f>
        <v>aparsons@kennesaw-ga.gov</v>
      </c>
      <c r="F1288" s="6" t="str">
        <f>HYPERLINK("http://www.smithgilbertgardens.com")</f>
        <v>http://www.smithgilbertgardens.com</v>
      </c>
    </row>
    <row r="1289" spans="1:6" ht="15">
      <c r="A1289" s="2" t="s">
        <v>2144</v>
      </c>
      <c r="B1289" s="1" t="s">
        <v>2145</v>
      </c>
      <c r="C1289" s="1" t="s">
        <v>2146</v>
      </c>
      <c r="D1289" s="1" t="s">
        <v>4912</v>
      </c>
      <c r="F1289" s="6" t="str">
        <f>HYPERLINK("https://www.leecountylibrary.org/about/hours-locations")</f>
        <v>https://www.leecountylibrary.org/about/hours-locations</v>
      </c>
    </row>
    <row r="1290" spans="1:7" ht="15">
      <c r="A1290" s="2" t="s">
        <v>1898</v>
      </c>
      <c r="B1290" s="1" t="s">
        <v>1899</v>
      </c>
      <c r="C1290" s="1" t="s">
        <v>1900</v>
      </c>
      <c r="D1290" s="1" t="s">
        <v>4844</v>
      </c>
      <c r="E1290" s="5" t="str">
        <f>HYPERLINK("mailto:smyrnahistoicalsociety@gmail.com","smyrnahistoicalsociety@gmail.com")</f>
        <v>smyrnahistoicalsociety@gmail.com</v>
      </c>
      <c r="F1290" s="6" t="str">
        <f>HYPERLINK("https://smyrnahistoricalsociety.org/")</f>
        <v>https://smyrnahistoricalsociety.org/</v>
      </c>
      <c r="G1290" s="5" t="str">
        <f>HYPERLINK("https://www.facebook.com/smyrnahistoricalsociety")</f>
        <v>https://www.facebook.com/smyrnahistoricalsociety</v>
      </c>
    </row>
    <row r="1291" spans="1:6" ht="30">
      <c r="A1291" s="2" t="s">
        <v>1961</v>
      </c>
      <c r="B1291" s="1" t="s">
        <v>1962</v>
      </c>
      <c r="C1291" s="1" t="s">
        <v>1963</v>
      </c>
      <c r="D1291" s="1" t="s">
        <v>4863</v>
      </c>
      <c r="E1291" s="5" t="str">
        <f>HYPERLINK("mailto:mwmoore@smyrnaga.gov","mwmoore@smyrnaga.gov")</f>
        <v>mwmoore@smyrnaga.gov</v>
      </c>
      <c r="F1291" s="6" t="str">
        <f>HYPERLINK("https://www.smyrnaga.gov/your-government/departments/smyrna-public-library")</f>
        <v>https://www.smyrnaga.gov/your-government/departments/smyrna-public-library</v>
      </c>
    </row>
    <row r="1292" spans="1:6" ht="15">
      <c r="A1292" s="2" t="s">
        <v>1231</v>
      </c>
      <c r="B1292" s="1" t="s">
        <v>1232</v>
      </c>
      <c r="C1292" s="1" t="s">
        <v>1233</v>
      </c>
      <c r="D1292" s="1" t="s">
        <v>4645</v>
      </c>
      <c r="F1292" s="6" t="str">
        <f>HYPERLINK("https://www.gwinnettpl.org/locations-and-hours/")</f>
        <v>https://www.gwinnettpl.org/locations-and-hours/</v>
      </c>
    </row>
    <row r="1293" spans="1:6" ht="15">
      <c r="A1293" s="2" t="s">
        <v>3489</v>
      </c>
      <c r="B1293" s="1" t="s">
        <v>3490</v>
      </c>
      <c r="C1293" s="1" t="s">
        <v>3491</v>
      </c>
      <c r="D1293" s="1" t="s">
        <v>5301</v>
      </c>
      <c r="F1293" s="6" t="str">
        <f>HYPERLINK("https://snellvillehistoricalsociety.com/")</f>
        <v>https://snellvillehistoricalsociety.com/</v>
      </c>
    </row>
    <row r="1294" spans="1:6" ht="15">
      <c r="A1294" s="2" t="s">
        <v>2771</v>
      </c>
      <c r="E1294" s="5" t="str">
        <f>HYPERLINK("mailto:profileeditor@thesga.org","profileeditor@thesga.org")</f>
        <v>profileeditor@thesga.org</v>
      </c>
      <c r="F1294" s="6" t="str">
        <f>HYPERLINK("http://thesga.org/")</f>
        <v>http://thesga.org/</v>
      </c>
    </row>
    <row r="1295" spans="1:7" ht="15">
      <c r="A1295" s="2" t="s">
        <v>2943</v>
      </c>
      <c r="G1295" s="5" t="str">
        <f>HYPERLINK("https://www.facebook.com/Society-of-the-War-of-1812-in-Georgia-716043062090543")</f>
        <v>https://www.facebook.com/Society-of-the-War-of-1812-in-Georgia-716043062090543</v>
      </c>
    </row>
    <row r="1296" spans="1:6" ht="15">
      <c r="A1296" s="2" t="s">
        <v>2770</v>
      </c>
      <c r="E1296" s="5" t="str">
        <f>HYPERLINK("mailto:tumblingwaters@hurricaneshoalspark.org","tumblingwaters@hurricaneshoalspark.org")</f>
        <v>tumblingwaters@hurricaneshoalspark.org</v>
      </c>
      <c r="F1296" s="6" t="str">
        <f>HYPERLINK("https://www.hurricaneshoalspark.org/tumbling-waters")</f>
        <v>https://www.hurricaneshoalspark.org/tumbling-waters</v>
      </c>
    </row>
    <row r="1297" spans="1:6" ht="15">
      <c r="A1297" s="2" t="s">
        <v>3492</v>
      </c>
      <c r="B1297" s="1" t="s">
        <v>3493</v>
      </c>
      <c r="C1297" s="1" t="s">
        <v>3494</v>
      </c>
      <c r="D1297" s="1" t="s">
        <v>5302</v>
      </c>
      <c r="E1297" s="5" t="str">
        <f>HYPERLINK("mailto:rwillis@solomonslodge1.com","rwillis@solomonslodge1.com")</f>
        <v>rwillis@solomonslodge1.com</v>
      </c>
      <c r="F1297" s="6" t="str">
        <f>HYPERLINK("http://www.solomonslodge.com/index.html")</f>
        <v>http://www.solomonslodge.com/index.html</v>
      </c>
    </row>
    <row r="1298" spans="1:3" ht="15">
      <c r="A1298" s="2" t="s">
        <v>4293</v>
      </c>
      <c r="B1298" s="1" t="s">
        <v>210</v>
      </c>
      <c r="C1298" s="1" t="s">
        <v>211</v>
      </c>
    </row>
    <row r="1299" spans="1:6" ht="15">
      <c r="A1299" s="2" t="s">
        <v>1964</v>
      </c>
      <c r="B1299" s="1" t="s">
        <v>1965</v>
      </c>
      <c r="C1299" s="1" t="s">
        <v>1966</v>
      </c>
      <c r="D1299" s="1" t="s">
        <v>4864</v>
      </c>
      <c r="F1299" s="6" t="str">
        <f>HYPERLINK("https://sorrelweedhouse.com/")</f>
        <v>https://sorrelweedhouse.com/</v>
      </c>
    </row>
    <row r="1300" spans="1:6" ht="15">
      <c r="A1300" s="2" t="s">
        <v>3800</v>
      </c>
      <c r="B1300" s="1" t="s">
        <v>3801</v>
      </c>
      <c r="C1300" s="1" t="s">
        <v>3802</v>
      </c>
      <c r="D1300" s="1" t="s">
        <v>5376</v>
      </c>
      <c r="F1300" s="6" t="str">
        <f>HYPERLINK("http://thewebbuilder.com/SoulMuseum/home.php")</f>
        <v>http://thewebbuilder.com/SoulMuseum/home.php</v>
      </c>
    </row>
    <row r="1301" spans="1:6" ht="15">
      <c r="A1301" s="2" t="s">
        <v>1970</v>
      </c>
      <c r="B1301" s="1" t="s">
        <v>1971</v>
      </c>
      <c r="C1301" s="1" t="s">
        <v>1972</v>
      </c>
      <c r="D1301" s="1" t="s">
        <v>4866</v>
      </c>
      <c r="E1301" s="5" t="str">
        <f>HYPERLINK("mailto:rsox@southarts.org","rsox@southarts.org")</f>
        <v>rsox@southarts.org</v>
      </c>
      <c r="F1301" s="6" t="str">
        <f>HYPERLINK("http://www.southarts.org")</f>
        <v>http://www.southarts.org</v>
      </c>
    </row>
    <row r="1302" spans="1:6" ht="15">
      <c r="A1302" s="2" t="s">
        <v>3857</v>
      </c>
      <c r="D1302" s="1" t="s">
        <v>5390</v>
      </c>
      <c r="F1302" s="6" t="str">
        <f>HYPERLINK("https://southcobbarts.org/")</f>
        <v>https://southcobbarts.org/</v>
      </c>
    </row>
    <row r="1303" spans="1:6" ht="15">
      <c r="A1303" s="2" t="s">
        <v>973</v>
      </c>
      <c r="B1303" s="1" t="s">
        <v>974</v>
      </c>
      <c r="C1303" s="1" t="s">
        <v>975</v>
      </c>
      <c r="D1303" s="1" t="s">
        <v>4563</v>
      </c>
      <c r="F1303" s="6" t="str">
        <f>HYPERLINK("http://www.cobbcat.org/venue/south-cobb-regional-library/")</f>
        <v>http://www.cobbcat.org/venue/south-cobb-regional-library/</v>
      </c>
    </row>
    <row r="1304" spans="1:6" ht="15">
      <c r="A1304" s="2" t="s">
        <v>1381</v>
      </c>
      <c r="B1304" s="1" t="s">
        <v>1382</v>
      </c>
      <c r="C1304" s="1" t="s">
        <v>1383</v>
      </c>
      <c r="D1304" s="1" t="s">
        <v>4692</v>
      </c>
      <c r="F1304" s="6" t="str">
        <f>HYPERLINK("https://www.cvlga.org/south-columbus-public-library/")</f>
        <v>https://www.cvlga.org/south-columbus-public-library/</v>
      </c>
    </row>
    <row r="1305" spans="1:7" ht="15">
      <c r="A1305" s="2" t="s">
        <v>3803</v>
      </c>
      <c r="B1305" s="1" t="s">
        <v>3804</v>
      </c>
      <c r="C1305" s="1" t="s">
        <v>3805</v>
      </c>
      <c r="D1305" s="1" t="s">
        <v>5377</v>
      </c>
      <c r="E1305" s="5" t="str">
        <f>HYPERLINK("mailto:help@southforkconservancy.org","help@southforkconservancy.org")</f>
        <v>help@southforkconservancy.org</v>
      </c>
      <c r="F1305" s="6" t="str">
        <f>HYPERLINK("http://southforkconservancy.org/")</f>
        <v>http://southforkconservancy.org/</v>
      </c>
      <c r="G1305" s="5" t="str">
        <f>HYPERLINK("https://www.facebook.com/southforkconservancy")</f>
        <v>https://www.facebook.com/southforkconservancy</v>
      </c>
    </row>
    <row r="1306" spans="1:6" ht="15">
      <c r="A1306" s="2" t="s">
        <v>1186</v>
      </c>
      <c r="B1306" s="1" t="s">
        <v>1187</v>
      </c>
      <c r="C1306" s="1" t="s">
        <v>1188</v>
      </c>
      <c r="D1306" s="1" t="s">
        <v>4632</v>
      </c>
      <c r="F1306" s="6" t="str">
        <f>HYPERLINK("http://afpls.org/south-fulton-branch6")</f>
        <v>http://afpls.org/south-fulton-branch6</v>
      </c>
    </row>
    <row r="1307" spans="1:6" ht="15">
      <c r="A1307" s="2" t="s">
        <v>1712</v>
      </c>
      <c r="B1307" s="1" t="s">
        <v>1709</v>
      </c>
      <c r="C1307" s="1" t="s">
        <v>1710</v>
      </c>
      <c r="D1307" s="1" t="s">
        <v>4347</v>
      </c>
      <c r="E1307" s="5" t="str">
        <f>HYPERLINK("mailto:tdeariso@heritagecenter.org","tdeariso@heritagecenter.org")</f>
        <v>tdeariso@heritagecenter.org</v>
      </c>
      <c r="F1307" s="6" t="str">
        <f>HYPERLINK("http://www.heritagecenter.org/archives.html")</f>
        <v>http://www.heritagecenter.org/archives.html</v>
      </c>
    </row>
    <row r="1308" spans="1:5" ht="15">
      <c r="A1308" s="2" t="s">
        <v>2946</v>
      </c>
      <c r="D1308" s="1" t="s">
        <v>5151</v>
      </c>
      <c r="E1308" s="5" t="str">
        <f>HYPERLINK("mailto:freddypage@aol.com","freddypage@aol.com")</f>
        <v>freddypage@aol.com</v>
      </c>
    </row>
    <row r="1309" spans="1:6" ht="30">
      <c r="A1309" s="2" t="s">
        <v>3029</v>
      </c>
      <c r="B1309" s="1" t="s">
        <v>3030</v>
      </c>
      <c r="C1309" s="1" t="s">
        <v>3031</v>
      </c>
      <c r="D1309" s="1" t="s">
        <v>5176</v>
      </c>
      <c r="E1309" s="5" t="str">
        <f>HYPERLINK("mailto:Yolanda.Crosby@sgsc.edu","Yolanda.Crosby@sgsc.edu")</f>
        <v>Yolanda.Crosby@sgsc.edu</v>
      </c>
      <c r="F1309" s="6" t="str">
        <f>HYPERLINK("http://www.sgsc.edu/academics/speccol.cms")</f>
        <v>http://www.sgsc.edu/academics/speccol.cms</v>
      </c>
    </row>
    <row r="1310" spans="1:4" ht="30">
      <c r="A1310" s="2" t="s">
        <v>3057</v>
      </c>
      <c r="B1310" s="1" t="s">
        <v>3058</v>
      </c>
      <c r="C1310" s="1" t="s">
        <v>3059</v>
      </c>
      <c r="D1310" s="1" t="s">
        <v>5182</v>
      </c>
    </row>
    <row r="1311" spans="1:6" ht="30">
      <c r="A1311" s="2" t="s">
        <v>3385</v>
      </c>
      <c r="B1311" s="1" t="s">
        <v>3386</v>
      </c>
      <c r="C1311" s="1" t="s">
        <v>3387</v>
      </c>
      <c r="D1311" s="1" t="s">
        <v>5271</v>
      </c>
      <c r="F1311" s="6" t="str">
        <f>HYPERLINK("https://www.southgatech.edu/academics/academic-resources/library/")</f>
        <v>https://www.southgatech.edu/academics/academic-resources/library/</v>
      </c>
    </row>
    <row r="1312" spans="1:6" ht="30">
      <c r="A1312" s="2" t="s">
        <v>3388</v>
      </c>
      <c r="B1312" s="1" t="s">
        <v>3389</v>
      </c>
      <c r="C1312" s="1" t="s">
        <v>3390</v>
      </c>
      <c r="D1312" s="1" t="s">
        <v>5272</v>
      </c>
      <c r="F1312" s="6" t="str">
        <f>HYPERLINK("https://www.southgatech.edu/academics/academic-resources/library/")</f>
        <v>https://www.southgatech.edu/academics/academic-resources/library/</v>
      </c>
    </row>
    <row r="1313" spans="1:6" ht="15">
      <c r="A1313" s="2" t="s">
        <v>1901</v>
      </c>
      <c r="D1313" s="1" t="s">
        <v>4845</v>
      </c>
      <c r="E1313" s="5" t="str">
        <f>HYPERLINK("mailto:memberservices@semcdirect.net","memberservices@semcdirect.net")</f>
        <v>memberservices@semcdirect.net</v>
      </c>
      <c r="F1313" s="6" t="str">
        <f>HYPERLINK("http://www.semcdirect.net")</f>
        <v>http://www.semcdirect.net</v>
      </c>
    </row>
    <row r="1314" spans="1:6" ht="15">
      <c r="A1314" s="2" t="s">
        <v>189</v>
      </c>
      <c r="B1314" s="1" t="s">
        <v>190</v>
      </c>
      <c r="C1314" s="1" t="s">
        <v>191</v>
      </c>
      <c r="D1314" s="1" t="s">
        <v>4340</v>
      </c>
      <c r="E1314" s="5" t="str">
        <f>HYPERLINK("mailto:Southeasternquilt@gmail.com","Southeasternquilt@gmail.com")</f>
        <v>Southeasternquilt@gmail.com</v>
      </c>
      <c r="F1314" s="6" t="str">
        <f>HYPERLINK("https://www.southeasternquiltandtextilemuseum.org")</f>
        <v>https://www.southeasternquiltandtextilemuseum.org</v>
      </c>
    </row>
    <row r="1315" spans="1:6" ht="15">
      <c r="A1315" s="2" t="s">
        <v>1967</v>
      </c>
      <c r="B1315" s="1" t="s">
        <v>1968</v>
      </c>
      <c r="C1315" s="1" t="s">
        <v>1969</v>
      </c>
      <c r="D1315" s="1" t="s">
        <v>4865</v>
      </c>
      <c r="F1315" s="6" t="str">
        <f>HYPERLINK("https://www.train-museum.org/")</f>
        <v>https://www.train-museum.org/</v>
      </c>
    </row>
    <row r="1316" spans="1:6" ht="30">
      <c r="A1316" s="2" t="s">
        <v>3426</v>
      </c>
      <c r="B1316" s="1" t="s">
        <v>3427</v>
      </c>
      <c r="C1316" s="1" t="s">
        <v>3428</v>
      </c>
      <c r="D1316" s="1" t="s">
        <v>5284</v>
      </c>
      <c r="F1316" s="6" t="str">
        <f>HYPERLINK("http://library.southeasterntech.edu/")</f>
        <v>http://library.southeasterntech.edu/</v>
      </c>
    </row>
    <row r="1317" spans="1:6" ht="30">
      <c r="A1317" s="2" t="s">
        <v>3423</v>
      </c>
      <c r="B1317" s="1" t="s">
        <v>3424</v>
      </c>
      <c r="C1317" s="1" t="s">
        <v>3425</v>
      </c>
      <c r="D1317" s="1" t="s">
        <v>5283</v>
      </c>
      <c r="F1317" s="6" t="str">
        <f>HYPERLINK("http://library.southeasterntech.edu/")</f>
        <v>http://library.southeasterntech.edu/</v>
      </c>
    </row>
    <row r="1318" spans="1:6" ht="30">
      <c r="A1318" s="2" t="s">
        <v>2666</v>
      </c>
      <c r="B1318" s="1" t="s">
        <v>2667</v>
      </c>
      <c r="C1318" s="1" t="s">
        <v>2668</v>
      </c>
      <c r="D1318" s="1" t="s">
        <v>5065</v>
      </c>
      <c r="F1318" s="6" t="str">
        <f>HYPERLINK("https://www.sctech.edu/libraries/")</f>
        <v>https://www.sctech.edu/libraries/</v>
      </c>
    </row>
    <row r="1319" spans="1:6" ht="30">
      <c r="A1319" s="2" t="s">
        <v>2678</v>
      </c>
      <c r="B1319" s="1" t="s">
        <v>2679</v>
      </c>
      <c r="C1319" s="1" t="s">
        <v>2680</v>
      </c>
      <c r="D1319" s="1" t="s">
        <v>5068</v>
      </c>
      <c r="F1319" s="6" t="str">
        <f>HYPERLINK("https://www.sctech.edu/libraries/")</f>
        <v>https://www.sctech.edu/libraries/</v>
      </c>
    </row>
    <row r="1320" spans="1:7" ht="15">
      <c r="A1320" s="2" t="s">
        <v>2947</v>
      </c>
      <c r="B1320" s="1" t="s">
        <v>2948</v>
      </c>
      <c r="C1320" s="1" t="s">
        <v>2949</v>
      </c>
      <c r="D1320" s="1" t="s">
        <v>5152</v>
      </c>
      <c r="F1320" s="6" t="str">
        <f>HYPERLINK("http://southernforestworld.com/")</f>
        <v>http://southernforestworld.com/</v>
      </c>
      <c r="G1320" s="5" t="str">
        <f>HYPERLINK("https://www.facebook.com/Southern-Forest-World-123493057805549")</f>
        <v>https://www.facebook.com/Southern-Forest-World-123493057805549</v>
      </c>
    </row>
    <row r="1321" spans="1:7" ht="15">
      <c r="A1321" s="2" t="s">
        <v>4233</v>
      </c>
      <c r="B1321" s="1" t="s">
        <v>4234</v>
      </c>
      <c r="C1321" s="1" t="s">
        <v>4235</v>
      </c>
      <c r="D1321" s="1" t="s">
        <v>5510</v>
      </c>
      <c r="E1321" s="5" t="str">
        <f>HYPERLINK("mailto:ceo@southernhighlandmusicfoundation.com","ceo@southernhighlandmusicfoundation.com")</f>
        <v>ceo@southernhighlandmusicfoundation.com</v>
      </c>
      <c r="F1321" s="6" t="str">
        <f>HYPERLINK("http://southernhighlandmusicfoundation.com/")</f>
        <v>http://southernhighlandmusicfoundation.com/</v>
      </c>
      <c r="G1321" s="5" t="str">
        <f>HYPERLINK("https://www.facebook.com/Southern-Highland-Music-Foundation-212371995605243")</f>
        <v>https://www.facebook.com/Southern-Highland-Music-Foundation-212371995605243</v>
      </c>
    </row>
    <row r="1322" spans="1:8" ht="15">
      <c r="A1322" s="2" t="s">
        <v>1973</v>
      </c>
      <c r="C1322" s="1" t="s">
        <v>1974</v>
      </c>
      <c r="F1322" s="6" t="str">
        <f>HYPERLINK("http://thesha.org/")</f>
        <v>http://thesha.org/</v>
      </c>
      <c r="G1322" s="5" t="str">
        <f>HYPERLINK("https://www.facebook.com/thesouthernsha")</f>
        <v>https://www.facebook.com/thesouthernsha</v>
      </c>
      <c r="H1322" s="5" t="str">
        <f>HYPERLINK("https://twitter.com/thesouthernsha")</f>
        <v>https://twitter.com/thesouthernsha</v>
      </c>
    </row>
    <row r="1323" spans="1:7" ht="15">
      <c r="A1323" s="2" t="s">
        <v>1975</v>
      </c>
      <c r="B1323" s="1" t="s">
        <v>1976</v>
      </c>
      <c r="E1323" s="5" t="str">
        <f>HYPERLINK("mailto:info@jewishsouth.org","info@jewishsouth.org")</f>
        <v>info@jewishsouth.org</v>
      </c>
      <c r="F1323" s="6" t="str">
        <f>HYPERLINK("https://www.jewishsouth.org/")</f>
        <v>https://www.jewishsouth.org/</v>
      </c>
      <c r="G1323" s="5" t="str">
        <f>HYPERLINK("https://www.facebook.com/Southern-Jewish-Historical-Society-105561266176288")</f>
        <v>https://www.facebook.com/Southern-Jewish-Historical-Society-105561266176288</v>
      </c>
    </row>
    <row r="1324" spans="1:6" ht="30">
      <c r="A1324" s="2" t="s">
        <v>1977</v>
      </c>
      <c r="B1324" s="1" t="s">
        <v>1978</v>
      </c>
      <c r="C1324" s="1" t="s">
        <v>1979</v>
      </c>
      <c r="D1324" s="1" t="s">
        <v>4867</v>
      </c>
      <c r="E1324" s="5" t="str">
        <f>HYPERLINK("mailto:admin@southernmuseum.org","admin@southernmuseum.org")</f>
        <v>admin@southernmuseum.org</v>
      </c>
      <c r="F1324" s="6" t="str">
        <f>HYPERLINK("https://www.southernmuseum.org/library-archives-copy")</f>
        <v>https://www.southernmuseum.org/library-archives-copy</v>
      </c>
    </row>
    <row r="1325" spans="1:7" ht="15">
      <c r="A1325" s="2" t="s">
        <v>3806</v>
      </c>
      <c r="B1325" s="1" t="s">
        <v>3807</v>
      </c>
      <c r="C1325" s="1" t="s">
        <v>3808</v>
      </c>
      <c r="D1325" s="1" t="s">
        <v>5378</v>
      </c>
      <c r="E1325" s="5" t="str">
        <f>HYPERLINK("mailto:info@southernmuseumofmusic.com","info@southernmuseumofmusic.com")</f>
        <v>info@southernmuseumofmusic.com</v>
      </c>
      <c r="F1325" s="6" t="str">
        <f>HYPERLINK("http://www.southernmuseumofmusic.com/")</f>
        <v>http://www.southernmuseumofmusic.com/</v>
      </c>
      <c r="G1325" s="5" t="str">
        <f>HYPERLINK("https://www.facebook.com/SMoMusic2014")</f>
        <v>https://www.facebook.com/SMoMusic2014</v>
      </c>
    </row>
    <row r="1326" spans="1:6" ht="15">
      <c r="A1326" s="2" t="s">
        <v>3391</v>
      </c>
      <c r="B1326" s="1" t="s">
        <v>3392</v>
      </c>
      <c r="C1326" s="1" t="s">
        <v>3393</v>
      </c>
      <c r="D1326" s="1" t="s">
        <v>5273</v>
      </c>
      <c r="E1326" s="5" t="str">
        <f>HYPERLINK("mailto:library@southernregional.edu","library@southernregional.edu")</f>
        <v>library@southernregional.edu</v>
      </c>
      <c r="F1326" s="6" t="str">
        <f>HYPERLINK("https://southernregional.edu/library")</f>
        <v>https://southernregional.edu/library</v>
      </c>
    </row>
    <row r="1327" spans="1:6" ht="30">
      <c r="A1327" s="2" t="s">
        <v>3432</v>
      </c>
      <c r="B1327" s="1" t="s">
        <v>3433</v>
      </c>
      <c r="C1327" s="1" t="s">
        <v>3434</v>
      </c>
      <c r="D1327" s="1" t="s">
        <v>5286</v>
      </c>
      <c r="E1327" s="5" t="str">
        <f>HYPERLINK("mailto:library@southernregional.edu","library@southernregional.edu")</f>
        <v>library@southernregional.edu</v>
      </c>
      <c r="F1327" s="6" t="str">
        <f>HYPERLINK("https://southernregional.edu/library")</f>
        <v>https://southernregional.edu/library</v>
      </c>
    </row>
    <row r="1328" spans="1:6" ht="30">
      <c r="A1328" s="2" t="s">
        <v>3435</v>
      </c>
      <c r="B1328" s="1" t="s">
        <v>3436</v>
      </c>
      <c r="C1328" s="1" t="s">
        <v>3437</v>
      </c>
      <c r="D1328" s="1" t="s">
        <v>5287</v>
      </c>
      <c r="E1328" s="5" t="str">
        <f>HYPERLINK("mailto:library@southernregional.edu","library@southernregional.edu")</f>
        <v>library@southernregional.edu</v>
      </c>
      <c r="F1328" s="6" t="str">
        <f>HYPERLINK("https://southernregional.edu/library")</f>
        <v>https://southernregional.edu/library</v>
      </c>
    </row>
    <row r="1329" spans="1:6" ht="30">
      <c r="A1329" s="2" t="s">
        <v>3429</v>
      </c>
      <c r="B1329" s="1" t="s">
        <v>3430</v>
      </c>
      <c r="C1329" s="1" t="s">
        <v>3431</v>
      </c>
      <c r="D1329" s="1" t="s">
        <v>5285</v>
      </c>
      <c r="E1329" s="5" t="str">
        <f>HYPERLINK("mailto:library@southernregional.edu","library@southernregional.edu")</f>
        <v>library@southernregional.edu</v>
      </c>
      <c r="F1329" s="6" t="str">
        <f>HYPERLINK("https://southernregional.edu/library")</f>
        <v>https://southernregional.edu/library</v>
      </c>
    </row>
    <row r="1330" spans="1:6" ht="15">
      <c r="A1330" s="2" t="s">
        <v>3403</v>
      </c>
      <c r="B1330" s="1" t="s">
        <v>3404</v>
      </c>
      <c r="C1330" s="1" t="s">
        <v>3405</v>
      </c>
      <c r="D1330" s="1" t="s">
        <v>5277</v>
      </c>
      <c r="E1330" s="5" t="str">
        <f>HYPERLINK("mailto:library@southernregional.edu","library@southernregional.edu")</f>
        <v>library@southernregional.edu</v>
      </c>
      <c r="F1330" s="6" t="str">
        <f>HYPERLINK("https://southernregional.edu/library")</f>
        <v>https://southernregional.edu/library</v>
      </c>
    </row>
    <row r="1331" spans="1:6" ht="15">
      <c r="A1331" s="2" t="s">
        <v>2092</v>
      </c>
      <c r="B1331" s="1" t="s">
        <v>2093</v>
      </c>
      <c r="C1331" s="1" t="s">
        <v>2094</v>
      </c>
      <c r="D1331" s="1" t="s">
        <v>4904</v>
      </c>
      <c r="F1331" s="6" t="str">
        <f>HYPERLINK("http://www.docolib.org/index.php/about-us/location-hours/")</f>
        <v>http://www.docolib.org/index.php/about-us/location-hours/</v>
      </c>
    </row>
    <row r="1332" spans="1:6" ht="15">
      <c r="A1332" s="2" t="s">
        <v>883</v>
      </c>
      <c r="B1332" s="1" t="s">
        <v>884</v>
      </c>
      <c r="C1332" s="1" t="s">
        <v>885</v>
      </c>
      <c r="D1332" s="1" t="s">
        <v>4533</v>
      </c>
      <c r="E1332" s="5" t="str">
        <f>HYPERLINK("mailto:brickeym@liveoakpl.org","brickeym@liveoakpl.org")</f>
        <v>brickeym@liveoakpl.org</v>
      </c>
      <c r="F1332" s="6" t="str">
        <f>HYPERLINK("https://liveoakpl.org/locations/southwest")</f>
        <v>https://liveoakpl.org/locations/southwest</v>
      </c>
    </row>
    <row r="1333" spans="1:6" ht="15">
      <c r="A1333" s="2" t="s">
        <v>2962</v>
      </c>
      <c r="B1333" s="1" t="s">
        <v>2087</v>
      </c>
      <c r="C1333" s="1" t="s">
        <v>2963</v>
      </c>
      <c r="D1333" s="1" t="s">
        <v>5151</v>
      </c>
      <c r="F1333" s="6" t="str">
        <f>HYPERLINK("http://www.swggs.org/")</f>
        <v>http://www.swggs.org/</v>
      </c>
    </row>
    <row r="1334" spans="1:6" ht="30">
      <c r="A1334" s="2" t="s">
        <v>2953</v>
      </c>
      <c r="B1334" s="1" t="s">
        <v>1013</v>
      </c>
      <c r="C1334" s="1" t="s">
        <v>2954</v>
      </c>
      <c r="D1334" s="1" t="s">
        <v>4575</v>
      </c>
      <c r="F1334" s="6" t="str">
        <f>HYPERLINK("http://www.swgrl.org/reference/genealogy/")</f>
        <v>http://www.swgrl.org/reference/genealogy/</v>
      </c>
    </row>
    <row r="1335" spans="1:6" ht="15">
      <c r="A1335" s="2" t="s">
        <v>1174</v>
      </c>
      <c r="B1335" s="1" t="s">
        <v>1175</v>
      </c>
      <c r="C1335" s="1" t="s">
        <v>1176</v>
      </c>
      <c r="D1335" s="1" t="s">
        <v>4628</v>
      </c>
      <c r="F1335" s="6" t="str">
        <f>HYPERLINK("http://www.afpls.org/southwest-branch6")</f>
        <v>http://www.afpls.org/southwest-branch6</v>
      </c>
    </row>
    <row r="1336" spans="1:6" ht="15">
      <c r="A1336" s="2" t="s">
        <v>2955</v>
      </c>
      <c r="B1336" s="1" t="s">
        <v>2956</v>
      </c>
      <c r="C1336" s="1" t="s">
        <v>2957</v>
      </c>
      <c r="F1336" s="6" t="str">
        <f>HYPERLINK("http://www.shchs.org/")</f>
        <v>http://www.shchs.org/</v>
      </c>
    </row>
    <row r="1337" spans="1:6" ht="15">
      <c r="A1337" s="2" t="s">
        <v>2950</v>
      </c>
      <c r="B1337" s="1" t="s">
        <v>2951</v>
      </c>
      <c r="C1337" s="1" t="s">
        <v>2952</v>
      </c>
      <c r="D1337" s="1" t="s">
        <v>5153</v>
      </c>
      <c r="E1337" s="5" t="str">
        <f>HYPERLINK("mailto:hsmith12@spelman.edu","hsmith12@spelman.edu")</f>
        <v>hsmith12@spelman.edu</v>
      </c>
      <c r="F1337" s="6" t="str">
        <f>HYPERLINK("https://www.spelman.edu/about-us/archives")</f>
        <v>https://www.spelman.edu/about-us/archives</v>
      </c>
    </row>
    <row r="1338" spans="1:8" ht="15">
      <c r="A1338" s="2" t="s">
        <v>1980</v>
      </c>
      <c r="B1338" s="1" t="s">
        <v>1981</v>
      </c>
      <c r="C1338" s="1" t="s">
        <v>1982</v>
      </c>
      <c r="D1338" s="1" t="s">
        <v>4868</v>
      </c>
      <c r="E1338" s="5" t="str">
        <f>HYPERLINK("mailto:museum@spelman.edu","museum@spelman.edu")</f>
        <v>museum@spelman.edu</v>
      </c>
      <c r="F1338" s="6" t="str">
        <f>HYPERLINK("https://museum.spelman.edu/")</f>
        <v>https://museum.spelman.edu/</v>
      </c>
      <c r="G1338" s="5" t="str">
        <f>HYPERLINK("https://www.facebook.com/spelmanmuseum")</f>
        <v>https://www.facebook.com/spelmanmuseum</v>
      </c>
      <c r="H1338" s="5" t="str">
        <f>HYPERLINK("https://twitter.com/spelmanmuseum")</f>
        <v>https://twitter.com/spelmanmuseum</v>
      </c>
    </row>
    <row r="1339" spans="1:6" ht="15">
      <c r="A1339" s="2" t="s">
        <v>1603</v>
      </c>
      <c r="B1339" s="1" t="s">
        <v>1604</v>
      </c>
      <c r="C1339" s="1" t="s">
        <v>1605</v>
      </c>
      <c r="D1339" s="1" t="s">
        <v>4755</v>
      </c>
      <c r="F1339" s="6" t="str">
        <f>HYPERLINK("https://hallcountylibrary.org/index.php/branch-locations")</f>
        <v>https://hallcountylibrary.org/index.php/branch-locations</v>
      </c>
    </row>
    <row r="1340" spans="1:6" ht="15">
      <c r="A1340" s="2" t="s">
        <v>874</v>
      </c>
      <c r="B1340" s="1" t="s">
        <v>875</v>
      </c>
      <c r="C1340" s="1" t="s">
        <v>876</v>
      </c>
      <c r="D1340" s="1" t="s">
        <v>4530</v>
      </c>
      <c r="E1340" s="5" t="str">
        <f>HYPERLINK("mailto:nicolausm@liveoakpl.org","nicolausm@liveoakpl.org")</f>
        <v>nicolausm@liveoakpl.org</v>
      </c>
      <c r="F1340" s="6" t="str">
        <f>HYPERLINK("https://liveoakpl.org/locations/springfield")</f>
        <v>https://liveoakpl.org/locations/springfield</v>
      </c>
    </row>
    <row r="1341" spans="1:6" ht="30">
      <c r="A1341" s="2" t="s">
        <v>2688</v>
      </c>
      <c r="B1341" s="1" t="s">
        <v>2689</v>
      </c>
      <c r="C1341" s="1" t="s">
        <v>2690</v>
      </c>
      <c r="D1341" s="1" t="s">
        <v>5073</v>
      </c>
      <c r="E1341" s="5" t="str">
        <f>HYPERLINK("mailto:michele.wood@stmarysga.gov","michele.wood@stmarysga.gov")</f>
        <v>michele.wood@stmarysga.gov</v>
      </c>
      <c r="F1341" s="6" t="str">
        <f>HYPERLINK("http://www.stmarysga.gov/government/authorities_boards_commissions_and_committees/historic_preservation_commission/index.php")</f>
        <v>http://www.stmarysga.gov/government/authorities_boards_commissions_and_committees/historic_preservation_commission/index.php</v>
      </c>
    </row>
    <row r="1342" spans="1:6" ht="30">
      <c r="A1342" s="2" t="s">
        <v>2238</v>
      </c>
      <c r="B1342" s="1" t="s">
        <v>2239</v>
      </c>
      <c r="C1342" s="1" t="s">
        <v>2240</v>
      </c>
      <c r="D1342" s="1" t="s">
        <v>4943</v>
      </c>
      <c r="E1342" s="5" t="str">
        <f>HYPERLINK("mailto:jbritt@trrl.org","jbritt@trrl.org")</f>
        <v>jbritt@trrl.org</v>
      </c>
      <c r="F1342" s="6" t="str">
        <f>HYPERLINK("https://threeriverslibraries.org/wordpress-dev/library-locations/st-marys-public-library/")</f>
        <v>https://threeriverslibraries.org/wordpress-dev/library-locations/st-marys-public-library/</v>
      </c>
    </row>
    <row r="1343" spans="1:7" ht="15">
      <c r="A1343" s="2" t="s">
        <v>1877</v>
      </c>
      <c r="B1343" s="1" t="s">
        <v>1878</v>
      </c>
      <c r="C1343" s="1" t="s">
        <v>1879</v>
      </c>
      <c r="D1343" s="1" t="s">
        <v>4837</v>
      </c>
      <c r="E1343" s="5" t="str">
        <f>HYPERLINK("mailto:submus@stmaryssubmuseum.com","submus@stmaryssubmuseum.com")</f>
        <v>submus@stmaryssubmuseum.com</v>
      </c>
      <c r="F1343" s="6" t="str">
        <f>HYPERLINK("http://www.stmaryssubmuseum.com/")</f>
        <v>http://www.stmaryssubmuseum.com/</v>
      </c>
      <c r="G1343" s="5" t="str">
        <f>HYPERLINK("https://www.facebook.com/StMarysSubMuseum")</f>
        <v>https://www.facebook.com/StMarysSubMuseum</v>
      </c>
    </row>
    <row r="1344" spans="1:6" ht="30">
      <c r="A1344" s="2" t="s">
        <v>684</v>
      </c>
      <c r="B1344" s="1" t="s">
        <v>685</v>
      </c>
      <c r="C1344" s="1" t="s">
        <v>686</v>
      </c>
      <c r="D1344" s="1" t="s">
        <v>4470</v>
      </c>
      <c r="F1344" s="6" t="str">
        <f>HYPERLINK("https://www.coastalgeorgiahistory.org/visit/st-simons-lighthouse-museum/")</f>
        <v>https://www.coastalgeorgiahistory.org/visit/st-simons-lighthouse-museum/</v>
      </c>
    </row>
    <row r="1345" spans="1:6" ht="15">
      <c r="A1345" s="2" t="s">
        <v>1642</v>
      </c>
      <c r="B1345" s="1" t="s">
        <v>1643</v>
      </c>
      <c r="C1345" s="1" t="s">
        <v>1644</v>
      </c>
      <c r="D1345" s="1" t="s">
        <v>4767</v>
      </c>
      <c r="F1345" s="6" t="str">
        <f>HYPERLINK("https://moglibraries.org/st-simons-public-library/")</f>
        <v>https://moglibraries.org/st-simons-public-library/</v>
      </c>
    </row>
    <row r="1346" spans="1:8" ht="15">
      <c r="A1346" s="2" t="s">
        <v>4239</v>
      </c>
      <c r="B1346" s="1" t="s">
        <v>4240</v>
      </c>
      <c r="C1346" s="1" t="s">
        <v>4241</v>
      </c>
      <c r="D1346" s="1" t="s">
        <v>5512</v>
      </c>
      <c r="E1346" s="5" t="str">
        <f>HYPERLINK("mailto:ContactUs@StageDoorPlayers.org","ContactUs@StageDoorPlayers.org")</f>
        <v>ContactUs@StageDoorPlayers.org</v>
      </c>
      <c r="F1346" s="6" t="str">
        <f>HYPERLINK("https://stagedoorplayers.org/")</f>
        <v>https://stagedoorplayers.org/</v>
      </c>
      <c r="G1346" s="5" t="str">
        <f>HYPERLINK("https://www.facebook.com/stage.players")</f>
        <v>https://www.facebook.com/stage.players</v>
      </c>
      <c r="H1346" s="5" t="str">
        <f>HYPERLINK("https://twitter.com/dunwoodysdp")</f>
        <v>https://twitter.com/dunwoodysdp</v>
      </c>
    </row>
    <row r="1347" spans="1:6" ht="15">
      <c r="A1347" s="2" t="s">
        <v>1986</v>
      </c>
      <c r="B1347" s="1" t="s">
        <v>1987</v>
      </c>
      <c r="C1347" s="1" t="s">
        <v>1988</v>
      </c>
      <c r="D1347" s="1" t="s">
        <v>4870</v>
      </c>
      <c r="E1347" s="5" t="str">
        <f>HYPERLINK("mailto:statelyoaks@historicaljonesboro.org","statelyoaks@historicaljonesboro.org")</f>
        <v>statelyoaks@historicaljonesboro.org</v>
      </c>
      <c r="F1347" s="6" t="str">
        <f>HYPERLINK("https://www.historicaljonesboro.org/")</f>
        <v>https://www.historicaljonesboro.org/</v>
      </c>
    </row>
    <row r="1348" spans="1:6" ht="15">
      <c r="A1348" s="2" t="s">
        <v>3723</v>
      </c>
      <c r="B1348" s="1" t="s">
        <v>3724</v>
      </c>
      <c r="C1348" s="1" t="s">
        <v>3725</v>
      </c>
      <c r="D1348" s="1" t="s">
        <v>4870</v>
      </c>
      <c r="E1348" s="5" t="str">
        <f>HYPERLINK("mailto:statelyoaks@historicaljonesboro.org","statelyoaks@historicaljonesboro.org")</f>
        <v>statelyoaks@historicaljonesboro.org</v>
      </c>
      <c r="F1348" s="6" t="str">
        <f>HYPERLINK("http://www.historicaljonesboro.org/")</f>
        <v>http://www.historicaljonesboro.org/</v>
      </c>
    </row>
    <row r="1349" spans="1:7" ht="15">
      <c r="A1349" s="2" t="s">
        <v>2232</v>
      </c>
      <c r="B1349" s="1" t="s">
        <v>2233</v>
      </c>
      <c r="C1349" s="1" t="s">
        <v>2234</v>
      </c>
      <c r="D1349" s="1" t="s">
        <v>4941</v>
      </c>
      <c r="E1349" s="5" t="str">
        <f>HYPERLINK("mailto:sboro@strl.info","sboro@strl.info")</f>
        <v>sboro@strl.info</v>
      </c>
      <c r="F1349" s="6" t="str">
        <f>HYPERLINK("https://strl.info/statesboro-regional-library/")</f>
        <v>https://strl.info/statesboro-regional-library/</v>
      </c>
      <c r="G1349" s="5" t="str">
        <f>HYPERLINK("https://www.facebook.com/statesborolibrary")</f>
        <v>https://www.facebook.com/statesborolibrary</v>
      </c>
    </row>
    <row r="1350" spans="1:6" ht="15">
      <c r="A1350" s="2" t="s">
        <v>772</v>
      </c>
      <c r="B1350" s="1" t="s">
        <v>773</v>
      </c>
      <c r="C1350" s="1" t="s">
        <v>774</v>
      </c>
      <c r="D1350" s="1" t="s">
        <v>4496</v>
      </c>
      <c r="E1350" s="5" t="str">
        <f>HYPERLINK("mailto:sdukes@prlib.org","sdukes@prlib.org")</f>
        <v>sdukes@prlib.org</v>
      </c>
      <c r="F1350" s="6" t="str">
        <f>HYPERLINK("http://statham.prlib.org/")</f>
        <v>http://statham.prlib.org/</v>
      </c>
    </row>
    <row r="1351" spans="1:6" ht="15">
      <c r="A1351" s="2" t="s">
        <v>1902</v>
      </c>
      <c r="B1351" s="1" t="s">
        <v>1903</v>
      </c>
      <c r="C1351" s="1" t="s">
        <v>1904</v>
      </c>
      <c r="D1351" s="1" t="s">
        <v>4846</v>
      </c>
      <c r="E1351" s="5" t="str">
        <f>HYPERLINK("mailto:info@steffenthomas.org","info@steffenthomas.org")</f>
        <v>info@steffenthomas.org</v>
      </c>
      <c r="F1351" s="6" t="str">
        <f>HYPERLINK("http://www.steffenthomas.org")</f>
        <v>http://www.steffenthomas.org</v>
      </c>
    </row>
    <row r="1352" spans="1:6" ht="15">
      <c r="A1352" s="2" t="s">
        <v>1989</v>
      </c>
      <c r="B1352" s="1" t="s">
        <v>1990</v>
      </c>
      <c r="C1352" s="1" t="s">
        <v>1991</v>
      </c>
      <c r="D1352" s="1" t="s">
        <v>4871</v>
      </c>
      <c r="F1352" s="6" t="str">
        <f>HYPERLINK("https://gastateparks.org/StephenCFoster")</f>
        <v>https://gastateparks.org/StephenCFoster</v>
      </c>
    </row>
    <row r="1353" spans="1:5" ht="15">
      <c r="A1353" s="2" t="s">
        <v>2968</v>
      </c>
      <c r="B1353" s="1" t="s">
        <v>1771</v>
      </c>
      <c r="C1353" s="1" t="s">
        <v>2969</v>
      </c>
      <c r="D1353" s="1" t="s">
        <v>4802</v>
      </c>
      <c r="E1353" s="5" t="str">
        <f>HYPERLINK("mailto:contact@toccoahistory.com","contact@toccoahistory.com")</f>
        <v>contact@toccoahistory.com</v>
      </c>
    </row>
    <row r="1354" spans="1:5" ht="15">
      <c r="A1354" s="2" t="s">
        <v>3113</v>
      </c>
      <c r="B1354" s="1" t="s">
        <v>1771</v>
      </c>
      <c r="C1354" s="1" t="s">
        <v>2969</v>
      </c>
      <c r="D1354" s="1" t="s">
        <v>4802</v>
      </c>
      <c r="E1354" s="5" t="str">
        <f>HYPERLINK("mailto:contact@toccoahistory.com","contact@toccoahistory.com")</f>
        <v>contact@toccoahistory.com</v>
      </c>
    </row>
    <row r="1355" spans="1:4" ht="15">
      <c r="A1355" s="2" t="s">
        <v>1369</v>
      </c>
      <c r="B1355" s="1" t="s">
        <v>1370</v>
      </c>
      <c r="C1355" s="1" t="s">
        <v>1371</v>
      </c>
      <c r="D1355" s="1" t="s">
        <v>4688</v>
      </c>
    </row>
    <row r="1356" spans="1:7" ht="15">
      <c r="A1356" s="2" t="s">
        <v>2970</v>
      </c>
      <c r="D1356" s="1" t="s">
        <v>5157</v>
      </c>
      <c r="G1356" s="5" t="str">
        <f>HYPERLINK("https://www.facebook.com/StewartCountyHistoricalCommission")</f>
        <v>https://www.facebook.com/StewartCountyHistoricalCommission</v>
      </c>
    </row>
    <row r="1357" spans="1:6" ht="15">
      <c r="A1357" s="2" t="s">
        <v>3809</v>
      </c>
      <c r="B1357" s="1" t="s">
        <v>3810</v>
      </c>
      <c r="C1357" s="1" t="s">
        <v>3811</v>
      </c>
      <c r="D1357" s="1" t="s">
        <v>5379</v>
      </c>
      <c r="E1357" s="5" t="str">
        <f>HYPERLINK("mailto:stonemtnhistoricsociety@gmail.com","stonemtnhistoricsociety@gmail.com")</f>
        <v>stonemtnhistoricsociety@gmail.com</v>
      </c>
      <c r="F1357" s="6" t="str">
        <f>HYPERLINK("http://stonemountainhistoricsociety.org/")</f>
        <v>http://stonemountainhistoricsociety.org/</v>
      </c>
    </row>
    <row r="1358" spans="1:6" ht="15">
      <c r="A1358" s="2" t="s">
        <v>441</v>
      </c>
      <c r="B1358" s="1" t="s">
        <v>442</v>
      </c>
      <c r="C1358" s="1" t="s">
        <v>443</v>
      </c>
      <c r="D1358" s="1" t="s">
        <v>4405</v>
      </c>
      <c r="F1358" s="6" t="str">
        <f>HYPERLINK("http://www.stonemountainpark.com")</f>
        <v>http://www.stonemountainpark.com</v>
      </c>
    </row>
    <row r="1359" spans="1:6" ht="15">
      <c r="A1359" s="2" t="s">
        <v>1057</v>
      </c>
      <c r="B1359" s="1" t="s">
        <v>1058</v>
      </c>
      <c r="C1359" s="1" t="s">
        <v>1059</v>
      </c>
      <c r="D1359" s="1" t="s">
        <v>4590</v>
      </c>
      <c r="F1359" s="6" t="str">
        <f>HYPERLINK("https://dekalblibrary.org/branches/ston")</f>
        <v>https://dekalblibrary.org/branches/ston</v>
      </c>
    </row>
    <row r="1360" spans="1:3" ht="15">
      <c r="A1360" s="2" t="s">
        <v>3495</v>
      </c>
      <c r="B1360" s="1" t="s">
        <v>3496</v>
      </c>
      <c r="C1360" s="1" t="s">
        <v>3497</v>
      </c>
    </row>
    <row r="1361" spans="1:6" ht="15">
      <c r="A1361" s="2" t="s">
        <v>1084</v>
      </c>
      <c r="B1361" s="1" t="s">
        <v>1085</v>
      </c>
      <c r="C1361" s="1" t="s">
        <v>1086</v>
      </c>
      <c r="D1361" s="1" t="s">
        <v>4599</v>
      </c>
      <c r="F1361" s="6" t="str">
        <f>HYPERLINK("https://dekalblibrary.org/branches/stcr")</f>
        <v>https://dekalblibrary.org/branches/stcr</v>
      </c>
    </row>
    <row r="1362" spans="1:6" ht="15">
      <c r="A1362" s="2" t="s">
        <v>2078</v>
      </c>
      <c r="B1362" s="1" t="s">
        <v>2079</v>
      </c>
      <c r="C1362" s="1" t="s">
        <v>2080</v>
      </c>
      <c r="D1362" s="1" t="s">
        <v>4900</v>
      </c>
      <c r="F1362" s="6" t="str">
        <f>HYPERLINK("http://www.cobbcat.org/venue/stratton-library/")</f>
        <v>http://www.cobbcat.org/venue/stratton-library/</v>
      </c>
    </row>
    <row r="1363" spans="1:2" ht="15">
      <c r="A1363" s="2" t="s">
        <v>3812</v>
      </c>
      <c r="B1363" s="1" t="s">
        <v>3813</v>
      </c>
    </row>
    <row r="1364" spans="1:6" ht="30">
      <c r="A1364" s="2" t="s">
        <v>1934</v>
      </c>
      <c r="B1364" s="1" t="s">
        <v>228</v>
      </c>
      <c r="C1364" s="1" t="s">
        <v>1935</v>
      </c>
      <c r="D1364" s="1" t="s">
        <v>4854</v>
      </c>
      <c r="E1364" s="5" t="str">
        <f>HYPERLINK("mailto:rose.library@emory.edu","rose.library@emory.edu")</f>
        <v>rose.library@emory.edu</v>
      </c>
      <c r="F1364" s="6" t="str">
        <f>HYPERLINK("http://rose.library.emory.edu/")</f>
        <v>http://rose.library.emory.edu/</v>
      </c>
    </row>
    <row r="1365" spans="1:6" ht="15">
      <c r="A1365" s="2" t="s">
        <v>71</v>
      </c>
      <c r="B1365" s="1" t="s">
        <v>72</v>
      </c>
      <c r="C1365" s="1" t="s">
        <v>73</v>
      </c>
      <c r="D1365" s="1" t="s">
        <v>4311</v>
      </c>
      <c r="E1365" s="5" t="str">
        <f>HYPERLINK("mailto:shhps@cityofsugarhill.com","shhps@cityofsugarhill.com")</f>
        <v>shhps@cityofsugarhill.com</v>
      </c>
      <c r="F1365" s="6" t="str">
        <f>HYPERLINK("https://cityofsugarhill.com/art-gallery-and-history-museum/")</f>
        <v>https://cityofsugarhill.com/art-gallery-and-history-museum/</v>
      </c>
    </row>
    <row r="1366" spans="1:6" ht="15">
      <c r="A1366" s="2" t="s">
        <v>76</v>
      </c>
      <c r="B1366" s="1" t="s">
        <v>4292</v>
      </c>
      <c r="E1366" s="5" t="str">
        <f>HYPERLINK("mailto:ArtsCommission@CityofSugarHill.com","ArtsCommission@CityofSugarHill.com")</f>
        <v>ArtsCommission@CityofSugarHill.com</v>
      </c>
      <c r="F1366" s="6" t="str">
        <f>HYPERLINK("https://www.sugarhillarts.com/")</f>
        <v>https://www.sugarhillarts.com/</v>
      </c>
    </row>
    <row r="1367" spans="1:6" ht="30">
      <c r="A1367" s="2" t="s">
        <v>74</v>
      </c>
      <c r="B1367" s="1" t="s">
        <v>75</v>
      </c>
      <c r="E1367" s="5" t="str">
        <f>HYPERLINK("mailto:shhps@cityofsugarhill.com","shhps@cityofsugarhill.com")</f>
        <v>shhps@cityofsugarhill.com</v>
      </c>
      <c r="F1367" s="6" t="str">
        <f>HYPERLINK("https://cityofsugarhill.com/government/boards-commissions/historic-preservation-society/")</f>
        <v>https://cityofsugarhill.com/government/boards-commissions/historic-preservation-society/</v>
      </c>
    </row>
    <row r="1368" spans="1:7" ht="15">
      <c r="A1368" s="2" t="s">
        <v>2965</v>
      </c>
      <c r="B1368" s="1" t="s">
        <v>2966</v>
      </c>
      <c r="C1368" s="1" t="s">
        <v>2967</v>
      </c>
      <c r="D1368" s="1" t="s">
        <v>5156</v>
      </c>
      <c r="F1368" s="6" t="str">
        <f>HYPERLINK("https://www.sumterhistorictrust.org/")</f>
        <v>https://www.sumterhistorictrust.org/</v>
      </c>
      <c r="G1368" s="5" t="str">
        <f>HYPERLINK("https://www.facebook.com/Sumter-Historic-Trust-187234719312")</f>
        <v>https://www.facebook.com/Sumter-Historic-Trust-187234719312</v>
      </c>
    </row>
    <row r="1369" spans="1:8" ht="15">
      <c r="A1369" s="2" t="s">
        <v>4242</v>
      </c>
      <c r="E1369" s="5" t="str">
        <f>HYPERLINK("mailto:sumterplayers@gmail.com","sumterplayers@gmail.com")</f>
        <v>sumterplayers@gmail.com</v>
      </c>
      <c r="F1369" s="6" t="str">
        <f>HYPERLINK("https://www.sumterplayers.org/")</f>
        <v>https://www.sumterplayers.org/</v>
      </c>
      <c r="G1369" s="5" t="str">
        <f>HYPERLINK("https://www.facebook.com/SumterPlayers")</f>
        <v>https://www.facebook.com/SumterPlayers</v>
      </c>
      <c r="H1369" s="5" t="str">
        <f>HYPERLINK("https://twitter.com/sumterplayers")</f>
        <v>https://twitter.com/sumterplayers</v>
      </c>
    </row>
    <row r="1370" spans="1:7" ht="30">
      <c r="A1370" s="2" t="s">
        <v>3502</v>
      </c>
      <c r="B1370" s="1" t="s">
        <v>3503</v>
      </c>
      <c r="C1370" s="1" t="s">
        <v>3504</v>
      </c>
      <c r="D1370" s="1" t="s">
        <v>5304</v>
      </c>
      <c r="E1370" s="5" t="str">
        <f>HYPERLINK("mailto:register@susiekingtaylorinstitute.org","register@susiekingtaylorinstitute.org")</f>
        <v>register@susiekingtaylorinstitute.org</v>
      </c>
      <c r="F1370" s="6" t="str">
        <f>HYPERLINK("https://www.susiekingtaylorinstitute.org/")</f>
        <v>https://www.susiekingtaylorinstitute.org/</v>
      </c>
      <c r="G1370" s="5" t="str">
        <f>HYPERLINK("https://www.facebook.com/susiekingtaylor")</f>
        <v>https://www.facebook.com/susiekingtaylor</v>
      </c>
    </row>
    <row r="1371" spans="1:6" ht="15">
      <c r="A1371" s="2" t="s">
        <v>2124</v>
      </c>
      <c r="B1371" s="1" t="s">
        <v>2125</v>
      </c>
      <c r="C1371" s="1" t="s">
        <v>2126</v>
      </c>
      <c r="D1371" s="1" t="s">
        <v>4645</v>
      </c>
      <c r="F1371" s="6" t="str">
        <f>HYPERLINK("https://www.gwinnettpl.org/locations-and-hours/")</f>
        <v>https://www.gwinnettpl.org/locations-and-hours/</v>
      </c>
    </row>
    <row r="1372" spans="1:6" ht="15">
      <c r="A1372" s="2" t="s">
        <v>1995</v>
      </c>
      <c r="B1372" s="1" t="s">
        <v>1996</v>
      </c>
      <c r="C1372" s="1" t="s">
        <v>1997</v>
      </c>
      <c r="D1372" s="1" t="s">
        <v>4873</v>
      </c>
      <c r="F1372" s="6" t="str">
        <f>HYPERLINK("https://gastateparks.org/SweetwaterCreek")</f>
        <v>https://gastateparks.org/SweetwaterCreek</v>
      </c>
    </row>
    <row r="1373" spans="1:6" ht="15">
      <c r="A1373" s="2" t="s">
        <v>976</v>
      </c>
      <c r="B1373" s="1" t="s">
        <v>977</v>
      </c>
      <c r="C1373" s="1" t="s">
        <v>978</v>
      </c>
      <c r="D1373" s="1" t="s">
        <v>4564</v>
      </c>
      <c r="F1373" s="6" t="str">
        <f>HYPERLINK("http://www.cobbcat.org/venue/sweetwater-valley-library/")</f>
        <v>http://www.cobbcat.org/venue/sweetwater-valley-library/</v>
      </c>
    </row>
    <row r="1374" spans="1:6" ht="15">
      <c r="A1374" s="2" t="s">
        <v>949</v>
      </c>
      <c r="B1374" s="1" t="s">
        <v>950</v>
      </c>
      <c r="C1374" s="1" t="s">
        <v>951</v>
      </c>
      <c r="D1374" s="1" t="s">
        <v>4555</v>
      </c>
      <c r="F1374" s="6" t="str">
        <f>HYPERLINK("http://www.cobbcat.org/venue/switzer-library/")</f>
        <v>http://www.cobbcat.org/venue/switzer-library/</v>
      </c>
    </row>
    <row r="1375" spans="1:6" ht="15">
      <c r="A1375" s="2" t="s">
        <v>1911</v>
      </c>
      <c r="B1375" s="1" t="s">
        <v>1912</v>
      </c>
      <c r="C1375" s="1" t="s">
        <v>1913</v>
      </c>
      <c r="D1375" s="1" t="s">
        <v>4848</v>
      </c>
      <c r="E1375" s="5" t="str">
        <f>HYPERLINK("mailto:info@tiftonmuseum.org","info@tiftonmuseum.org")</f>
        <v>info@tiftonmuseum.org</v>
      </c>
      <c r="F1375" s="6" t="str">
        <f>HYPERLINK("http://www.tiftonmuseum.org")</f>
        <v>http://www.tiftonmuseum.org</v>
      </c>
    </row>
    <row r="1376" spans="1:6" ht="15">
      <c r="A1376" s="2" t="s">
        <v>1911</v>
      </c>
      <c r="B1376" s="1" t="s">
        <v>1912</v>
      </c>
      <c r="C1376" s="1" t="s">
        <v>1913</v>
      </c>
      <c r="D1376" s="1" t="s">
        <v>4848</v>
      </c>
      <c r="E1376" s="5" t="str">
        <f>HYPERLINK("mailto:info@tiftonmuseum.org","info@tiftonmuseum.org")</f>
        <v>info@tiftonmuseum.org</v>
      </c>
      <c r="F1376" s="6" t="str">
        <f>HYPERLINK("http://www.thesyd.org/")</f>
        <v>http://www.thesyd.org/</v>
      </c>
    </row>
    <row r="1377" spans="1:6" ht="15">
      <c r="A1377" s="2" t="s">
        <v>1998</v>
      </c>
      <c r="B1377" s="1" t="s">
        <v>1999</v>
      </c>
      <c r="C1377" s="1" t="s">
        <v>2000</v>
      </c>
      <c r="D1377" s="1" t="s">
        <v>4874</v>
      </c>
      <c r="E1377" s="5" t="str">
        <f>HYPERLINK("mailto:sthomas@trrcobbhouse.org","sthomas@trrcobbhouse.org")</f>
        <v>sthomas@trrcobbhouse.org</v>
      </c>
      <c r="F1377" s="6" t="str">
        <f>HYPERLINK("http://www.trrcobbhouse.org/")</f>
        <v>http://www.trrcobbhouse.org/</v>
      </c>
    </row>
    <row r="1378" spans="1:3" ht="15">
      <c r="A1378" s="2" t="s">
        <v>1694</v>
      </c>
      <c r="C1378" s="1" t="s">
        <v>1695</v>
      </c>
    </row>
    <row r="1379" spans="1:7" ht="15">
      <c r="A1379" s="2" t="s">
        <v>4243</v>
      </c>
      <c r="B1379" s="1" t="s">
        <v>4244</v>
      </c>
      <c r="C1379" s="1" t="s">
        <v>4245</v>
      </c>
      <c r="D1379" s="1" t="s">
        <v>5513</v>
      </c>
      <c r="E1379" s="5" t="str">
        <f>HYPERLINK("mailto:tadafoundation@gmail.com","tadafoundation@gmail.com")</f>
        <v>tadafoundation@gmail.com</v>
      </c>
      <c r="F1379" s="6" t="str">
        <f>HYPERLINK("https://tadafoundation.org/")</f>
        <v>https://tadafoundation.org/</v>
      </c>
      <c r="G1379" s="5" t="str">
        <f>HYPERLINK("https://www.facebook.com/TADAFoundation")</f>
        <v>https://www.facebook.com/TADAFoundation</v>
      </c>
    </row>
    <row r="1380" spans="1:6" ht="15">
      <c r="A1380" s="2" t="s">
        <v>3817</v>
      </c>
      <c r="B1380" s="1" t="s">
        <v>3818</v>
      </c>
      <c r="C1380" s="1" t="s">
        <v>3819</v>
      </c>
      <c r="D1380" s="1" t="s">
        <v>5381</v>
      </c>
      <c r="E1380" s="5" t="str">
        <f>HYPERLINK("mailto:tailfin@purpledodo.net","tailfin@purpledodo.net")</f>
        <v>tailfin@purpledodo.net</v>
      </c>
      <c r="F1380" s="6" t="str">
        <f>HYPERLINK("http://www.purpledodo.net/wp/")</f>
        <v>http://www.purpledodo.net/wp/</v>
      </c>
    </row>
    <row r="1381" spans="1:6" ht="30">
      <c r="A1381" s="2" t="s">
        <v>1318</v>
      </c>
      <c r="B1381" s="1" t="s">
        <v>1319</v>
      </c>
      <c r="C1381" s="1" t="s">
        <v>1320</v>
      </c>
      <c r="D1381" s="1" t="s">
        <v>4671</v>
      </c>
      <c r="E1381" s="5" t="str">
        <f>HYPERLINK("mailto:libraryt@pinemtnlibrary.org","libraryt@pinemtnlibrary.org")</f>
        <v>libraryt@pinemtnlibrary.org</v>
      </c>
      <c r="F1381" s="6" t="str">
        <f>HYPERLINK("https://www.pinemtnlibrary.org/wordpress/index.php/hours-and-locations/talbot-county-library/")</f>
        <v>https://www.pinemtnlibrary.org/wordpress/index.php/hours-and-locations/talbot-county-library/</v>
      </c>
    </row>
    <row r="1382" spans="1:4" ht="15">
      <c r="A1382" s="2" t="s">
        <v>2964</v>
      </c>
      <c r="D1382" s="1" t="s">
        <v>5155</v>
      </c>
    </row>
    <row r="1383" spans="1:6" ht="15">
      <c r="A1383" s="2" t="s">
        <v>1531</v>
      </c>
      <c r="B1383" s="1" t="s">
        <v>1532</v>
      </c>
      <c r="C1383" s="1" t="s">
        <v>1533</v>
      </c>
      <c r="D1383" s="1" t="s">
        <v>4741</v>
      </c>
      <c r="E1383" s="5" t="str">
        <f>HYPERLINK("mailto:tcl@btrl.net","tcl@btrl.net")</f>
        <v>tcl@btrl.net</v>
      </c>
      <c r="F1383" s="6" t="str">
        <f>HYPERLINK("https://www.btrl.net/public-library-georgia-branch-taliaferro.php")</f>
        <v>https://www.btrl.net/public-library-georgia-branch-taliaferro.php</v>
      </c>
    </row>
    <row r="1384" spans="1:6" ht="15">
      <c r="A1384" s="2" t="s">
        <v>835</v>
      </c>
      <c r="B1384" s="1" t="s">
        <v>836</v>
      </c>
      <c r="C1384" s="1" t="s">
        <v>837</v>
      </c>
      <c r="D1384" s="1" t="s">
        <v>4517</v>
      </c>
      <c r="E1384" s="5" t="str">
        <f>HYPERLINK("mailto:kboling@wgrls.org","kboling@wgrls.org")</f>
        <v>kboling@wgrls.org</v>
      </c>
      <c r="F1384" s="6" t="str">
        <f>HYPERLINK("http://www.wgrls.org/visit/tallapoosa/")</f>
        <v>http://www.wgrls.org/visit/tallapoosa/</v>
      </c>
    </row>
    <row r="1385" spans="1:6" ht="15">
      <c r="A1385" s="2" t="s">
        <v>2001</v>
      </c>
      <c r="B1385" s="1" t="s">
        <v>2002</v>
      </c>
      <c r="C1385" s="1" t="s">
        <v>2003</v>
      </c>
      <c r="D1385" s="1" t="s">
        <v>4875</v>
      </c>
      <c r="F1385" s="6" t="str">
        <f>HYPERLINK("https://gastateparks.org/TallulahGorge")</f>
        <v>https://gastateparks.org/TallulahGorge</v>
      </c>
    </row>
    <row r="1386" spans="1:6" ht="15">
      <c r="A1386" s="2" t="s">
        <v>1105</v>
      </c>
      <c r="B1386" s="1" t="s">
        <v>1106</v>
      </c>
      <c r="C1386" s="1" t="s">
        <v>1107</v>
      </c>
      <c r="D1386" s="1" t="s">
        <v>4606</v>
      </c>
      <c r="F1386" s="6" t="str">
        <f>HYPERLINK("http://www.docolib.org/index.php/about-us/location-hours/")</f>
        <v>http://www.docolib.org/index.php/about-us/location-hours/</v>
      </c>
    </row>
    <row r="1387" spans="1:6" ht="15">
      <c r="A1387" s="2" t="s">
        <v>778</v>
      </c>
      <c r="B1387" s="1" t="s">
        <v>779</v>
      </c>
      <c r="C1387" s="1" t="s">
        <v>780</v>
      </c>
      <c r="D1387" s="1" t="s">
        <v>4498</v>
      </c>
      <c r="E1387" s="5" t="str">
        <f>HYPERLINK("mailto:jdavis@prlib.org","jdavis@prlib.org")</f>
        <v>jdavis@prlib.org</v>
      </c>
      <c r="F1387" s="6" t="str">
        <f>HYPERLINK("http://talmo.prlib.org/")</f>
        <v>http://talmo.prlib.org/</v>
      </c>
    </row>
    <row r="1388" spans="1:6" ht="15">
      <c r="A1388" s="2" t="s">
        <v>3498</v>
      </c>
      <c r="B1388" s="1" t="s">
        <v>3499</v>
      </c>
      <c r="C1388" s="1" t="s">
        <v>3500</v>
      </c>
      <c r="D1388" s="1" t="s">
        <v>5303</v>
      </c>
      <c r="E1388" s="5" t="str">
        <f>HYPERLINK("mailto:tattnallarchives@gmail.com","tattnallarchives@gmail.com")</f>
        <v>tattnallarchives@gmail.com</v>
      </c>
      <c r="F1388" s="6" t="str">
        <f>HYPERLINK("http://www.tattnallarchives.org/")</f>
        <v>http://www.tattnallarchives.org/</v>
      </c>
    </row>
    <row r="1389" spans="1:7" ht="15">
      <c r="A1389" s="2" t="s">
        <v>1534</v>
      </c>
      <c r="B1389" s="1" t="s">
        <v>1535</v>
      </c>
      <c r="C1389" s="1" t="s">
        <v>1536</v>
      </c>
      <c r="D1389" s="1" t="s">
        <v>4742</v>
      </c>
      <c r="E1389" s="5" t="str">
        <f>HYPERLINK("mailto:petersona@ohoopeelibrary.org","petersona@ohoopeelibrary.org")</f>
        <v>petersona@ohoopeelibrary.org</v>
      </c>
      <c r="F1389" s="6" t="str">
        <f>HYPERLINK("https://ohoopeelibrary.org/locations/tattnall-county-library/")</f>
        <v>https://ohoopeelibrary.org/locations/tattnall-county-library/</v>
      </c>
      <c r="G1389" s="5" t="str">
        <f>HYPERLINK("https://www.facebook.com/ReidsvilleReadsBooks")</f>
        <v>https://www.facebook.com/ReidsvilleReadsBooks</v>
      </c>
    </row>
    <row r="1390" spans="1:6" ht="15">
      <c r="A1390" s="2" t="s">
        <v>2971</v>
      </c>
      <c r="B1390" s="1" t="s">
        <v>2972</v>
      </c>
      <c r="C1390" s="1" t="s">
        <v>2973</v>
      </c>
      <c r="F1390" s="6" t="str">
        <f>HYPERLINK("http://sites.rootsweb.com/~gatchgs/index.htm")</f>
        <v>http://sites.rootsweb.com/~gatchgs/index.htm</v>
      </c>
    </row>
    <row r="1391" spans="1:6" ht="15">
      <c r="A1391" s="2" t="s">
        <v>2004</v>
      </c>
      <c r="B1391" s="1" t="s">
        <v>2005</v>
      </c>
      <c r="C1391" s="1" t="s">
        <v>2006</v>
      </c>
      <c r="D1391" s="1" t="s">
        <v>4876</v>
      </c>
      <c r="E1391" s="5" t="str">
        <f>HYPERLINK("mailto:museum@fultonschools.org","museum@fultonschools.org")</f>
        <v>museum@fultonschools.org</v>
      </c>
      <c r="F1391" s="6" t="str">
        <f>HYPERLINK("https://www.fultonschools.org/teachingmuseum")</f>
        <v>https://www.fultonschools.org/teachingmuseum</v>
      </c>
    </row>
    <row r="1392" spans="1:6" ht="15">
      <c r="A1392" s="2" t="s">
        <v>3814</v>
      </c>
      <c r="B1392" s="1" t="s">
        <v>3815</v>
      </c>
      <c r="C1392" s="1" t="s">
        <v>3816</v>
      </c>
      <c r="D1392" s="1" t="s">
        <v>5380</v>
      </c>
      <c r="E1392" s="5" t="str">
        <f>HYPERLINK("mailto:museum@fultonschools.org","museum@fultonschools.org")</f>
        <v>museum@fultonschools.org</v>
      </c>
      <c r="F1392" s="6" t="str">
        <f>HYPERLINK("https://www.fultonschools.org/teachingmuseum")</f>
        <v>https://www.fultonschools.org/teachingmuseum</v>
      </c>
    </row>
    <row r="1393" spans="1:3" ht="15">
      <c r="A1393" s="2" t="s">
        <v>4291</v>
      </c>
      <c r="B1393" s="1" t="s">
        <v>57</v>
      </c>
      <c r="C1393" s="1" t="s">
        <v>58</v>
      </c>
    </row>
    <row r="1394" spans="1:6" ht="15">
      <c r="A1394" s="2" t="s">
        <v>2007</v>
      </c>
      <c r="B1394" s="1" t="s">
        <v>2008</v>
      </c>
      <c r="C1394" s="1" t="s">
        <v>2009</v>
      </c>
      <c r="F1394" s="6" t="str">
        <f>HYPERLINK("https://www.telfair.org/visit/telfair-academy/")</f>
        <v>https://www.telfair.org/visit/telfair-academy/</v>
      </c>
    </row>
    <row r="1395" spans="1:6" ht="15">
      <c r="A1395" s="2" t="s">
        <v>1099</v>
      </c>
      <c r="B1395" s="1" t="s">
        <v>1100</v>
      </c>
      <c r="C1395" s="1" t="s">
        <v>1101</v>
      </c>
      <c r="D1395" s="1" t="s">
        <v>4604</v>
      </c>
      <c r="F1395" s="6" t="str">
        <f>HYPERLINK("http://orls.org/wordpress/branches/telfair-county-library/")</f>
        <v>http://orls.org/wordpress/branches/telfair-county-library/</v>
      </c>
    </row>
    <row r="1396" spans="1:6" ht="15">
      <c r="A1396" s="2" t="s">
        <v>267</v>
      </c>
      <c r="C1396" s="1" t="s">
        <v>268</v>
      </c>
      <c r="E1396" s="5" t="str">
        <f>HYPERLINK("mailto:boylstonk@telfair.org","boylstonk@telfair.org")</f>
        <v>boylstonk@telfair.org</v>
      </c>
      <c r="F1396" s="6" t="str">
        <f>HYPERLINK("http://www.telfair.org/")</f>
        <v>http://www.telfair.org/</v>
      </c>
    </row>
    <row r="1397" spans="1:7" ht="15">
      <c r="A1397" s="2" t="s">
        <v>88</v>
      </c>
      <c r="B1397" s="1" t="s">
        <v>89</v>
      </c>
      <c r="C1397" s="1" t="s">
        <v>90</v>
      </c>
      <c r="G1397" s="5" t="str">
        <f>HYPERLINK("https://www.facebook.com/Blackhistorymonroe")</f>
        <v>https://www.facebook.com/Blackhistorymonroe</v>
      </c>
    </row>
    <row r="1398" spans="1:8" ht="15">
      <c r="A1398" s="2" t="s">
        <v>2010</v>
      </c>
      <c r="B1398" s="1" t="s">
        <v>2011</v>
      </c>
      <c r="C1398" s="1" t="s">
        <v>2012</v>
      </c>
      <c r="D1398" s="1" t="s">
        <v>4877</v>
      </c>
      <c r="E1398" s="5" t="str">
        <f>HYPERLINK("mailto:info@tellusmuseum.org","info@tellusmuseum.org")</f>
        <v>info@tellusmuseum.org</v>
      </c>
      <c r="F1398" s="6" t="str">
        <f>HYPERLINK("http://tellusmuseum.org/")</f>
        <v>http://tellusmuseum.org/</v>
      </c>
      <c r="G1398" s="5" t="str">
        <f>HYPERLINK("https://www.facebook.com/tellusmuseum")</f>
        <v>https://www.facebook.com/tellusmuseum</v>
      </c>
      <c r="H1398" s="5" t="str">
        <f>HYPERLINK("https://twitter.com/tellusmuseum")</f>
        <v>https://twitter.com/tellusmuseum</v>
      </c>
    </row>
    <row r="1399" spans="1:6" ht="15">
      <c r="A1399" s="2" t="s">
        <v>2974</v>
      </c>
      <c r="E1399" s="5" t="str">
        <f>HYPERLINK("mailto:terrell.historic@gmail.com","terrell.historic@gmail.com")</f>
        <v>terrell.historic@gmail.com</v>
      </c>
      <c r="F1399" s="6" t="str">
        <f>HYPERLINK("http://www.tchps.org/")</f>
        <v>http://www.tchps.org/</v>
      </c>
    </row>
    <row r="1400" spans="1:6" ht="15">
      <c r="A1400" s="2" t="s">
        <v>3117</v>
      </c>
      <c r="B1400" s="1" t="s">
        <v>3118</v>
      </c>
      <c r="C1400" s="1" t="s">
        <v>3119</v>
      </c>
      <c r="D1400" s="1" t="s">
        <v>5197</v>
      </c>
      <c r="F1400" s="6" t="str">
        <f>HYPERLINK("https://www.tchps.org/museum.html")</f>
        <v>https://www.tchps.org/museum.html</v>
      </c>
    </row>
    <row r="1401" spans="1:6" ht="15">
      <c r="A1401" s="2" t="s">
        <v>1456</v>
      </c>
      <c r="B1401" s="1" t="s">
        <v>1457</v>
      </c>
      <c r="C1401" s="1" t="s">
        <v>1458</v>
      </c>
      <c r="D1401" s="1" t="s">
        <v>4716</v>
      </c>
      <c r="F1401" s="6" t="str">
        <f>HYPERLINK("https://krlibrary.org/?page_id=12")</f>
        <v>https://krlibrary.org/?page_id=12</v>
      </c>
    </row>
    <row r="1402" spans="1:6" ht="15">
      <c r="A1402" s="2" t="s">
        <v>2975</v>
      </c>
      <c r="B1402" s="1" t="s">
        <v>2976</v>
      </c>
      <c r="C1402" s="1" t="s">
        <v>2977</v>
      </c>
      <c r="D1402" s="1" t="s">
        <v>5158</v>
      </c>
      <c r="F1402" s="6" t="str">
        <f>HYPERLINK("https://www.mga.edu/library/archives/coleman.php")</f>
        <v>https://www.mga.edu/library/archives/coleman.php</v>
      </c>
    </row>
    <row r="1403" spans="1:6" ht="15">
      <c r="A1403" s="2" t="s">
        <v>1087</v>
      </c>
      <c r="B1403" s="1" t="s">
        <v>1088</v>
      </c>
      <c r="C1403" s="1" t="s">
        <v>1089</v>
      </c>
      <c r="D1403" s="1" t="s">
        <v>4600</v>
      </c>
      <c r="F1403" s="6" t="str">
        <f>HYPERLINK("http://orls.org/wordpress/branches/bleckley-county-library/")</f>
        <v>http://orls.org/wordpress/branches/bleckley-county-library/</v>
      </c>
    </row>
    <row r="1404" spans="1:6" ht="15">
      <c r="A1404" s="2" t="s">
        <v>106</v>
      </c>
      <c r="C1404" s="1" t="s">
        <v>107</v>
      </c>
      <c r="F1404" s="6" t="str">
        <f>HYPERLINK("https://www.georgiasouthern.edu/gretsch-museum/")</f>
        <v>https://www.georgiasouthern.edu/gretsch-museum/</v>
      </c>
    </row>
    <row r="1405" spans="1:6" ht="15">
      <c r="A1405" s="2" t="s">
        <v>3886</v>
      </c>
      <c r="B1405" s="1" t="s">
        <v>3887</v>
      </c>
      <c r="C1405" s="1" t="s">
        <v>3888</v>
      </c>
      <c r="D1405" s="1" t="s">
        <v>5397</v>
      </c>
      <c r="E1405" s="5" t="str">
        <f>HYPERLINK("mailto:info@theartscouncil.net","info@theartscouncil.net")</f>
        <v>info@theartscouncil.net</v>
      </c>
      <c r="F1405" s="6" t="str">
        <f>HYPERLINK("https://theartscouncil.net/")</f>
        <v>https://theartscouncil.net/</v>
      </c>
    </row>
    <row r="1406" spans="1:3" ht="15">
      <c r="A1406" s="2" t="s">
        <v>214</v>
      </c>
      <c r="C1406" s="1" t="s">
        <v>215</v>
      </c>
    </row>
    <row r="1407" spans="1:8" ht="15">
      <c r="A1407" s="2" t="s">
        <v>4246</v>
      </c>
      <c r="B1407" s="1" t="s">
        <v>4247</v>
      </c>
      <c r="C1407" s="1" t="s">
        <v>4248</v>
      </c>
      <c r="D1407" s="1" t="s">
        <v>5514</v>
      </c>
      <c r="E1407" s="5" t="str">
        <f>HYPERLINK("mailto:thecolumbusballetga@gmail.com","thecolumbusballetga@gmail.com")</f>
        <v>thecolumbusballetga@gmail.com</v>
      </c>
      <c r="F1407" s="6" t="str">
        <f>HYPERLINK("http://thecolumbusballet.net/")</f>
        <v>http://thecolumbusballet.net/</v>
      </c>
      <c r="G1407" s="5" t="str">
        <f>HYPERLINK("https://www.facebook.com/TheColumbusBallet")</f>
        <v>https://www.facebook.com/TheColumbusBallet</v>
      </c>
      <c r="H1407" s="5" t="str">
        <f>HYPERLINK("https://twitter.com/columbus_ballet")</f>
        <v>https://twitter.com/columbus_ballet</v>
      </c>
    </row>
    <row r="1408" spans="1:6" ht="15">
      <c r="A1408" s="2" t="s">
        <v>192</v>
      </c>
      <c r="B1408" s="1" t="s">
        <v>193</v>
      </c>
      <c r="C1408" s="1" t="s">
        <v>194</v>
      </c>
      <c r="D1408" s="1" t="s">
        <v>4341</v>
      </c>
      <c r="E1408" s="5" t="str">
        <f>HYPERLINK("mailto:thecrescent1898@gmail.com","thecrescent1898@gmail.com")</f>
        <v>thecrescent1898@gmail.com</v>
      </c>
      <c r="F1408" s="6" t="str">
        <f>HYPERLINK("http://thecrescentatvaldosta.com/")</f>
        <v>http://thecrescentatvaldosta.com/</v>
      </c>
    </row>
    <row r="1409" spans="1:8" ht="15">
      <c r="A1409" s="2" t="s">
        <v>4249</v>
      </c>
      <c r="B1409" s="1" t="s">
        <v>4250</v>
      </c>
      <c r="C1409" s="1" t="s">
        <v>4251</v>
      </c>
      <c r="D1409" s="1" t="s">
        <v>5515</v>
      </c>
      <c r="E1409" s="5" t="str">
        <f>HYPERLINK("mailto:info@essentialtheatre.com","info@essentialtheatre.com")</f>
        <v>info@essentialtheatre.com</v>
      </c>
      <c r="F1409" s="6" t="str">
        <f>HYPERLINK("https://www.essentialtheatre.com/")</f>
        <v>https://www.essentialtheatre.com/</v>
      </c>
      <c r="G1409" s="5" t="str">
        <f>HYPERLINK("https://www.facebook.com/NewPlays")</f>
        <v>https://www.facebook.com/NewPlays</v>
      </c>
      <c r="H1409" s="5" t="str">
        <f>HYPERLINK("https://twitter.com/ATL_Essential")</f>
        <v>https://twitter.com/ATL_Essential</v>
      </c>
    </row>
    <row r="1410" spans="1:8" ht="15">
      <c r="A1410" s="2" t="s">
        <v>4252</v>
      </c>
      <c r="B1410" s="1" t="s">
        <v>4253</v>
      </c>
      <c r="C1410" s="1" t="s">
        <v>4254</v>
      </c>
      <c r="D1410" s="1" t="s">
        <v>5516</v>
      </c>
      <c r="E1410" s="5" t="str">
        <f>HYPERLINK("mailto:info@giftofmusic.org","info@giftofmusic.org")</f>
        <v>info@giftofmusic.org</v>
      </c>
      <c r="F1410" s="6" t="str">
        <f>HYPERLINK("https://giftofmusic.org/")</f>
        <v>https://giftofmusic.org/</v>
      </c>
      <c r="G1410" s="5" t="str">
        <f>HYPERLINK("https://www.facebook.com/thegiftofmusicinc")</f>
        <v>https://www.facebook.com/thegiftofmusicinc</v>
      </c>
      <c r="H1410" s="5" t="str">
        <f>HYPERLINK("https://twitter.com/TGOM_Foundation")</f>
        <v>https://twitter.com/TGOM_Foundation</v>
      </c>
    </row>
    <row r="1411" spans="1:7" ht="15">
      <c r="A1411" s="2" t="s">
        <v>4255</v>
      </c>
      <c r="B1411" s="1" t="s">
        <v>4256</v>
      </c>
      <c r="C1411" s="1" t="s">
        <v>4257</v>
      </c>
      <c r="E1411" s="5" t="str">
        <f>HYPERLINK("mailto:hapeveillarts@hotmail.com","hapeveillarts@hotmail.com")</f>
        <v>hapeveillarts@hotmail.com</v>
      </c>
      <c r="G1411" s="5" t="str">
        <f>HYPERLINK("https://www.facebook.com/hapeville.arts.alliance")</f>
        <v>https://www.facebook.com/hapeville.arts.alliance</v>
      </c>
    </row>
    <row r="1412" spans="1:6" ht="15">
      <c r="A1412" s="2" t="s">
        <v>733</v>
      </c>
      <c r="B1412" s="1" t="s">
        <v>734</v>
      </c>
      <c r="C1412" s="1" t="s">
        <v>735</v>
      </c>
      <c r="D1412" s="1" t="s">
        <v>4485</v>
      </c>
      <c r="F1412" s="6" t="str">
        <f>HYPERLINK("http://www.laurelandhardymuseum.com/")</f>
        <v>http://www.laurelandhardymuseum.com/</v>
      </c>
    </row>
    <row r="1413" spans="1:7" ht="30">
      <c r="A1413" s="2" t="s">
        <v>3738</v>
      </c>
      <c r="B1413" s="1" t="s">
        <v>3739</v>
      </c>
      <c r="C1413" s="1" t="s">
        <v>3740</v>
      </c>
      <c r="D1413" s="1" t="s">
        <v>5361</v>
      </c>
      <c r="E1413" s="5" t="str">
        <f>HYPERLINK("mailto:gathanymuseum@gmail.com","gathanymuseum@gmail.com")</f>
        <v>gathanymuseum@gmail.com</v>
      </c>
      <c r="F1413" s="6" t="str">
        <f>HYPERLINK("http://www.gathanymuseum.org")</f>
        <v>http://www.gathanymuseum.org</v>
      </c>
      <c r="G1413" s="5" t="str">
        <f>HYPERLINK("https://www.facebook.com/gathanymuseum")</f>
        <v>https://www.facebook.com/gathanymuseum</v>
      </c>
    </row>
    <row r="1414" spans="1:6" ht="30">
      <c r="A1414" s="2" t="s">
        <v>2396</v>
      </c>
      <c r="B1414" s="1" t="s">
        <v>2397</v>
      </c>
      <c r="C1414" s="1" t="s">
        <v>2398</v>
      </c>
      <c r="D1414" s="1" t="s">
        <v>4982</v>
      </c>
      <c r="E1414" s="5" t="str">
        <f>HYPERLINK("mailto:slynch@andrewlowhouse.com","slynch@andrewlowhouse.com")</f>
        <v>slynch@andrewlowhouse.com</v>
      </c>
      <c r="F1414" s="6" t="str">
        <f>HYPERLINK("http://nscdaga.org/")</f>
        <v>http://nscdaga.org/</v>
      </c>
    </row>
    <row r="1415" spans="1:8" ht="15">
      <c r="A1415" s="2" t="s">
        <v>4258</v>
      </c>
      <c r="E1415" s="5" t="str">
        <f>HYPERLINK("mailto:michaeljosephhaverty@gmail.com","michaeljosephhaverty@gmail.com")</f>
        <v>michaeljosephhaverty@gmail.com</v>
      </c>
      <c r="G1415" s="5" t="str">
        <f>HYPERLINK("https://www.facebook.com/theobjectgroup")</f>
        <v>https://www.facebook.com/theobjectgroup</v>
      </c>
      <c r="H1415" s="5" t="str">
        <f>HYPERLINK("https://twitter.com/theobjectgroup")</f>
        <v>https://twitter.com/theobjectgroup</v>
      </c>
    </row>
    <row r="1416" spans="1:7" ht="15">
      <c r="A1416" s="2" t="s">
        <v>4259</v>
      </c>
      <c r="B1416" s="1" t="s">
        <v>4260</v>
      </c>
      <c r="C1416" s="1" t="s">
        <v>4261</v>
      </c>
      <c r="D1416" s="1" t="s">
        <v>5517</v>
      </c>
      <c r="E1416" s="5" t="str">
        <f>HYPERLINK("mailto:thiokolmemorial020371@gmail.com","thiokolmemorial020371@gmail.com")</f>
        <v>thiokolmemorial020371@gmail.com</v>
      </c>
      <c r="F1416" s="6" t="str">
        <f>HYPERLINK("http://thiokolmemorial.org/")</f>
        <v>http://thiokolmemorial.org/</v>
      </c>
      <c r="G1416" s="5" t="str">
        <f>HYPERLINK("https://www.facebook.com/thiokol")</f>
        <v>https://www.facebook.com/thiokol</v>
      </c>
    </row>
    <row r="1417" spans="1:6" ht="15">
      <c r="A1417" s="2" t="s">
        <v>2978</v>
      </c>
      <c r="B1417" s="1" t="s">
        <v>1909</v>
      </c>
      <c r="C1417" s="1" t="s">
        <v>2979</v>
      </c>
      <c r="D1417" s="1" t="s">
        <v>4474</v>
      </c>
      <c r="E1417" s="5" t="str">
        <f>HYPERLINK("mailto:history@rose.net","history@rose.net")</f>
        <v>history@rose.net</v>
      </c>
      <c r="F1417" s="6" t="str">
        <f>HYPERLINK("http://shop.thomascountyhistory.org/")</f>
        <v>http://shop.thomascountyhistory.org/</v>
      </c>
    </row>
    <row r="1418" spans="1:6" ht="15">
      <c r="A1418" s="2" t="s">
        <v>2235</v>
      </c>
      <c r="B1418" s="1" t="s">
        <v>2236</v>
      </c>
      <c r="C1418" s="1" t="s">
        <v>2237</v>
      </c>
      <c r="D1418" s="1" t="s">
        <v>4942</v>
      </c>
      <c r="F1418" s="6" t="str">
        <f>HYPERLINK("http://tcpls.org/locations-hours")</f>
        <v>http://tcpls.org/locations-hours</v>
      </c>
    </row>
    <row r="1419" spans="1:6" ht="30">
      <c r="A1419" s="2" t="s">
        <v>1725</v>
      </c>
      <c r="B1419" s="1" t="s">
        <v>1726</v>
      </c>
      <c r="C1419" s="1" t="s">
        <v>1727</v>
      </c>
      <c r="D1419" s="1" t="s">
        <v>4788</v>
      </c>
      <c r="F1419" s="6" t="str">
        <f>HYPERLINK("https://wacohistorical.org/historical-sites/thomas-jefferson-elder-community-center-ca-1890/")</f>
        <v>https://wacohistorical.org/historical-sites/thomas-jefferson-elder-community-center-ca-1890/</v>
      </c>
    </row>
    <row r="1420" spans="1:6" ht="15">
      <c r="A1420" s="2" t="s">
        <v>2202</v>
      </c>
      <c r="B1420" s="1" t="s">
        <v>2203</v>
      </c>
      <c r="C1420" s="1" t="s">
        <v>2204</v>
      </c>
      <c r="D1420" s="1" t="s">
        <v>4931</v>
      </c>
      <c r="F1420" s="6" t="str">
        <f>HYPERLINK("http://www.peach.public.lib.ga.us/locations.html")</f>
        <v>http://www.peach.public.lib.ga.us/locations.html</v>
      </c>
    </row>
    <row r="1421" spans="1:6" ht="15">
      <c r="A1421" s="2" t="s">
        <v>2980</v>
      </c>
      <c r="B1421" s="1" t="s">
        <v>2981</v>
      </c>
      <c r="C1421" s="1" t="s">
        <v>2982</v>
      </c>
      <c r="D1421" s="1" t="s">
        <v>5159</v>
      </c>
      <c r="E1421" s="5" t="str">
        <f>HYPERLINK("mailto:tulibrary@thomasu.edu","tulibrary@thomasu.edu")</f>
        <v>tulibrary@thomasu.edu</v>
      </c>
      <c r="F1421" s="6" t="str">
        <f>HYPERLINK("https://www.thomasu.edu/student-life/library/")</f>
        <v>https://www.thomasu.edu/student-life/library/</v>
      </c>
    </row>
    <row r="1422" spans="1:7" ht="15">
      <c r="A1422" s="2" t="s">
        <v>2983</v>
      </c>
      <c r="B1422" s="1" t="s">
        <v>2984</v>
      </c>
      <c r="C1422" s="1" t="s">
        <v>2985</v>
      </c>
      <c r="D1422" s="1" t="s">
        <v>5160</v>
      </c>
      <c r="F1422" s="6" t="str">
        <f>HYPERLINK("https://www.upsoncountyga.org/150/Archives")</f>
        <v>https://www.upsoncountyga.org/150/Archives</v>
      </c>
      <c r="G1422" s="5" t="str">
        <f>HYPERLINK("https://www.facebook.com/thomastonupsonarchives")</f>
        <v>https://www.facebook.com/thomastonupsonarchives</v>
      </c>
    </row>
    <row r="1423" spans="1:7" ht="15">
      <c r="A1423" s="2" t="s">
        <v>4262</v>
      </c>
      <c r="B1423" s="1" t="s">
        <v>4263</v>
      </c>
      <c r="C1423" s="1" t="s">
        <v>4264</v>
      </c>
      <c r="D1423" s="1" t="s">
        <v>5518</v>
      </c>
      <c r="E1423" s="5" t="str">
        <f>HYPERLINK("mailto:tuarts@windstream.net","tuarts@windstream.net")</f>
        <v>tuarts@windstream.net</v>
      </c>
      <c r="F1423" s="6" t="str">
        <f>HYPERLINK("https://www.tuacga.com/")</f>
        <v>https://www.tuacga.com/</v>
      </c>
      <c r="G1423" s="5" t="str">
        <f>HYPERLINK("https://www.facebook.com/ThomastonUpsonArtsCouncil")</f>
        <v>https://www.facebook.com/ThomastonUpsonArtsCouncil</v>
      </c>
    </row>
    <row r="1424" spans="1:6" ht="15">
      <c r="A1424" s="2" t="s">
        <v>2986</v>
      </c>
      <c r="B1424" s="1" t="s">
        <v>2981</v>
      </c>
      <c r="C1424" s="1" t="s">
        <v>2987</v>
      </c>
      <c r="D1424" s="1" t="s">
        <v>5161</v>
      </c>
      <c r="E1424" s="5" t="str">
        <f>HYPERLINK("mailto:kmills@thomasu.edu","kmills@thomasu.edu")</f>
        <v>kmills@thomasu.edu</v>
      </c>
      <c r="F1424" s="6" t="str">
        <f>HYPERLINK("https://www.thomasu.edu/alumni-friends/genealogical-library/")</f>
        <v>https://www.thomasu.edu/alumni-friends/genealogical-library/</v>
      </c>
    </row>
    <row r="1425" spans="1:6" ht="15">
      <c r="A1425" s="2" t="s">
        <v>1908</v>
      </c>
      <c r="B1425" s="1" t="s">
        <v>1909</v>
      </c>
      <c r="C1425" s="1" t="s">
        <v>1910</v>
      </c>
      <c r="D1425" s="1" t="s">
        <v>4474</v>
      </c>
      <c r="E1425" s="5" t="str">
        <f>HYPERLINK("mailto:history@rose.net","history@rose.net")</f>
        <v>history@rose.net</v>
      </c>
      <c r="F1425" s="6" t="str">
        <f>HYPERLINK("https://www.thomasvillehistory.org/")</f>
        <v>https://www.thomasvillehistory.org/</v>
      </c>
    </row>
    <row r="1426" spans="1:7" ht="15">
      <c r="A1426" s="2" t="s">
        <v>2988</v>
      </c>
      <c r="B1426" s="1" t="s">
        <v>2989</v>
      </c>
      <c r="C1426" s="1" t="s">
        <v>2990</v>
      </c>
      <c r="D1426" s="1" t="s">
        <v>5162</v>
      </c>
      <c r="E1426" s="5" t="str">
        <f>HYPERLINK("mailto:info@thomasvillelandmarks.org","info@thomasvillelandmarks.org")</f>
        <v>info@thomasvillelandmarks.org</v>
      </c>
      <c r="F1426" s="6" t="str">
        <f>HYPERLINK("https://www.thomasvillelandmarks.org/")</f>
        <v>https://www.thomasvillelandmarks.org/</v>
      </c>
      <c r="G1426" s="5" t="str">
        <f>HYPERLINK("https://www.facebook.com/thomasvillelandmarks")</f>
        <v>https://www.facebook.com/thomasvillelandmarks</v>
      </c>
    </row>
    <row r="1427" spans="1:6" ht="30">
      <c r="A1427" s="2" t="s">
        <v>1528</v>
      </c>
      <c r="B1427" s="1" t="s">
        <v>1529</v>
      </c>
      <c r="C1427" s="1" t="s">
        <v>1530</v>
      </c>
      <c r="D1427" s="1" t="s">
        <v>4740</v>
      </c>
      <c r="E1427" s="5" t="str">
        <f>HYPERLINK("mailto:thomsonl@btrl.net","thomsonl@btrl.net")</f>
        <v>thomsonl@btrl.net</v>
      </c>
      <c r="F1427" s="6" t="str">
        <f>HYPERLINK("https://www.btrl.net/public-library-georgia-branch-thomson-mcduffie.php")</f>
        <v>https://www.btrl.net/public-library-georgia-branch-thomson-mcduffie.php</v>
      </c>
    </row>
    <row r="1428" spans="1:3" ht="15">
      <c r="A1428" s="2" t="s">
        <v>59</v>
      </c>
      <c r="B1428" s="1" t="s">
        <v>60</v>
      </c>
      <c r="C1428" s="1" t="s">
        <v>61</v>
      </c>
    </row>
    <row r="1429" spans="1:6" ht="15">
      <c r="A1429" s="2" t="s">
        <v>230</v>
      </c>
      <c r="B1429" s="1" t="s">
        <v>231</v>
      </c>
      <c r="C1429" s="1" t="s">
        <v>232</v>
      </c>
      <c r="D1429" s="1" t="s">
        <v>4347</v>
      </c>
      <c r="E1429" s="5" t="str">
        <f>HYPERLINK("mailto:tdeariso@heritagecenter.org","tdeariso@heritagecenter.org")</f>
        <v>tdeariso@heritagecenter.org</v>
      </c>
      <c r="F1429" s="6" t="str">
        <f>HYPERLINK("http://www.heritagecenter.org")</f>
        <v>http://www.heritagecenter.org</v>
      </c>
    </row>
    <row r="1430" spans="1:6" ht="15">
      <c r="A1430" s="2" t="s">
        <v>2345</v>
      </c>
      <c r="B1430" s="1" t="s">
        <v>1709</v>
      </c>
      <c r="C1430" s="1" t="s">
        <v>1710</v>
      </c>
      <c r="D1430" s="1" t="s">
        <v>4347</v>
      </c>
      <c r="E1430" s="5" t="str">
        <f>HYPERLINK("mailto:tdeariso@heritagecenter.org","tdeariso@heritagecenter.org")</f>
        <v>tdeariso@heritagecenter.org</v>
      </c>
      <c r="F1430" s="6" t="str">
        <f>HYPERLINK("http://www.heritagecenter.org/history.html")</f>
        <v>http://www.heritagecenter.org/history.html</v>
      </c>
    </row>
    <row r="1431" spans="1:6" ht="15">
      <c r="A1431" s="2" t="s">
        <v>2344</v>
      </c>
      <c r="B1431" s="1" t="s">
        <v>1709</v>
      </c>
      <c r="C1431" s="1" t="s">
        <v>1710</v>
      </c>
      <c r="D1431" s="1" t="s">
        <v>4347</v>
      </c>
      <c r="E1431" s="5" t="str">
        <f>HYPERLINK("mailto:tdeariso@heritagecenter.org","tdeariso@heritagecenter.org")</f>
        <v>tdeariso@heritagecenter.org</v>
      </c>
      <c r="F1431" s="6" t="str">
        <f>HYPERLINK("http://www.heritagecenter.org/science.html")</f>
        <v>http://www.heritagecenter.org/science.html</v>
      </c>
    </row>
    <row r="1432" spans="1:6" ht="15">
      <c r="A1432" s="2" t="s">
        <v>2369</v>
      </c>
      <c r="B1432" s="1" t="s">
        <v>2370</v>
      </c>
      <c r="C1432" s="1" t="s">
        <v>2371</v>
      </c>
      <c r="D1432" s="1" t="s">
        <v>4975</v>
      </c>
      <c r="E1432" s="5" t="str">
        <f>HYPERLINK("mailto:thunder50@comcast.net","thunder50@comcast.net")</f>
        <v>thunder50@comcast.net</v>
      </c>
      <c r="F1432" s="6" t="str">
        <f>HYPERLINK("http://thunderboltmuseum.org/")</f>
        <v>http://thunderboltmuseum.org/</v>
      </c>
    </row>
    <row r="1433" spans="1:6" ht="15">
      <c r="A1433" s="2" t="s">
        <v>3980</v>
      </c>
      <c r="B1433" s="1" t="s">
        <v>3981</v>
      </c>
      <c r="C1433" s="1" t="s">
        <v>3982</v>
      </c>
      <c r="D1433" s="1" t="s">
        <v>5416</v>
      </c>
      <c r="E1433" s="5" t="str">
        <f>HYPERLINK("mailto:ddenion@thunderboltga.org","ddenion@thunderboltga.org")</f>
        <v>ddenion@thunderboltga.org</v>
      </c>
      <c r="F1433" s="6" t="str">
        <f>HYPERLINK("http://www.thunderboltga.org/")</f>
        <v>http://www.thunderboltga.org/</v>
      </c>
    </row>
    <row r="1434" spans="1:6" ht="30">
      <c r="A1434" s="2" t="s">
        <v>1914</v>
      </c>
      <c r="B1434" s="1" t="s">
        <v>1915</v>
      </c>
      <c r="C1434" s="1" t="s">
        <v>1916</v>
      </c>
      <c r="D1434" s="1" t="s">
        <v>4849</v>
      </c>
      <c r="F1434" s="6" t="str">
        <f>HYPERLINK("https://tiftontourism.com/to-do-in-tifton/detail/tifton-terminal-railroad-museum")</f>
        <v>https://tiftontourism.com/to-do-in-tifton/detail/tifton-terminal-railroad-museum</v>
      </c>
    </row>
    <row r="1435" spans="1:6" ht="15">
      <c r="A1435" s="2" t="s">
        <v>1495</v>
      </c>
      <c r="B1435" s="1" t="s">
        <v>1496</v>
      </c>
      <c r="C1435" s="1" t="s">
        <v>1497</v>
      </c>
      <c r="D1435" s="1" t="s">
        <v>4729</v>
      </c>
      <c r="F1435" s="6" t="str">
        <f>HYPERLINK("https://www.cprl.org/ttcpl/")</f>
        <v>https://www.cprl.org/ttcpl/</v>
      </c>
    </row>
    <row r="1436" spans="1:6" ht="15">
      <c r="A1436" s="2" t="s">
        <v>1246</v>
      </c>
      <c r="B1436" s="1" t="s">
        <v>1247</v>
      </c>
      <c r="C1436" s="1" t="s">
        <v>1248</v>
      </c>
      <c r="D1436" s="1" t="s">
        <v>4647</v>
      </c>
      <c r="F1436" s="6" t="str">
        <f>HYPERLINK("http://www.toccoastephenslibrary.org/")</f>
        <v>http://www.toccoastephenslibrary.org/</v>
      </c>
    </row>
    <row r="1437" spans="1:6" ht="15">
      <c r="A1437" s="2" t="s">
        <v>1027</v>
      </c>
      <c r="B1437" s="1" t="s">
        <v>1028</v>
      </c>
      <c r="C1437" s="1" t="s">
        <v>1029</v>
      </c>
      <c r="D1437" s="1" t="s">
        <v>4580</v>
      </c>
      <c r="F1437" s="6" t="str">
        <f>HYPERLINK("https://dekalblibrary.org/branches/toco")</f>
        <v>https://dekalblibrary.org/branches/toco</v>
      </c>
    </row>
    <row r="1438" spans="1:6" ht="15">
      <c r="A1438" s="2" t="s">
        <v>1831</v>
      </c>
      <c r="B1438" s="1" t="s">
        <v>1832</v>
      </c>
      <c r="C1438" s="1" t="s">
        <v>1833</v>
      </c>
      <c r="D1438" s="1" t="s">
        <v>4823</v>
      </c>
      <c r="E1438" s="5" t="str">
        <f>HYPERLINK("mailto:info@townsbluffpark.com","info@townsbluffpark.com")</f>
        <v>info@townsbluffpark.com</v>
      </c>
      <c r="F1438" s="6" t="str">
        <f>HYPERLINK("http://www.townsbluffpark.com/home.html")</f>
        <v>http://www.townsbluffpark.com/home.html</v>
      </c>
    </row>
    <row r="1439" spans="1:7" ht="15">
      <c r="A1439" s="2" t="s">
        <v>2991</v>
      </c>
      <c r="B1439" s="1" t="s">
        <v>2992</v>
      </c>
      <c r="C1439" s="1" t="s">
        <v>2993</v>
      </c>
      <c r="E1439" s="5" t="str">
        <f>HYPERLINK("mailto:townscountyhistory@gmail.com","townscountyhistory@gmail.com")</f>
        <v>townscountyhistory@gmail.com</v>
      </c>
      <c r="F1439" s="6" t="str">
        <f>HYPERLINK("http://townscountyhistory.org/")</f>
        <v>http://townscountyhistory.org/</v>
      </c>
      <c r="G1439" s="5" t="str">
        <f>HYPERLINK("https://www.facebook.com/Towns-County-Historical-Society-286218441417801")</f>
        <v>https://www.facebook.com/Towns-County-Historical-Society-286218441417801</v>
      </c>
    </row>
    <row r="1440" spans="1:6" ht="15">
      <c r="A1440" s="2" t="s">
        <v>2188</v>
      </c>
      <c r="B1440" s="1" t="s">
        <v>2189</v>
      </c>
      <c r="C1440" s="1" t="s">
        <v>2190</v>
      </c>
      <c r="D1440" s="1" t="s">
        <v>4927</v>
      </c>
      <c r="E1440" s="5" t="str">
        <f>HYPERLINK("mailto:libraryt@mountainregionallibrary.org","libraryt@mountainregionallibrary.org")</f>
        <v>libraryt@mountainregionallibrary.org</v>
      </c>
      <c r="F1440" s="6" t="str">
        <f>HYPERLINK("https://www.mountainregionallibrary.org/towns-county-public-library")</f>
        <v>https://www.mountainregionallibrary.org/towns-county-public-library</v>
      </c>
    </row>
    <row r="1441" spans="1:6" ht="15">
      <c r="A1441" s="2" t="s">
        <v>3907</v>
      </c>
      <c r="B1441" s="1" t="s">
        <v>3908</v>
      </c>
      <c r="C1441" s="1" t="s">
        <v>3909</v>
      </c>
      <c r="E1441" s="5" t="str">
        <f>HYPERLINK("mailto:info@trapmusicmuseum.us","info@trapmusicmuseum.us")</f>
        <v>info@trapmusicmuseum.us</v>
      </c>
      <c r="F1441" s="6" t="str">
        <f>HYPERLINK("https://trapmusicmuseum.us/")</f>
        <v>https://trapmusicmuseum.us/</v>
      </c>
    </row>
    <row r="1442" spans="1:6" ht="15">
      <c r="A1442" s="2" t="s">
        <v>2994</v>
      </c>
      <c r="B1442" s="1" t="s">
        <v>2995</v>
      </c>
      <c r="C1442" s="1" t="s">
        <v>2996</v>
      </c>
      <c r="D1442" s="1" t="s">
        <v>5163</v>
      </c>
      <c r="F1442" s="6" t="str">
        <f>HYPERLINK("https://gastateparks.org/TravelersRest")</f>
        <v>https://gastateparks.org/TravelersRest</v>
      </c>
    </row>
    <row r="1443" spans="1:6" ht="15">
      <c r="A1443" s="2" t="s">
        <v>1291</v>
      </c>
      <c r="B1443" s="1" t="s">
        <v>1292</v>
      </c>
      <c r="C1443" s="1" t="s">
        <v>1293</v>
      </c>
      <c r="D1443" s="1" t="s">
        <v>4662</v>
      </c>
      <c r="F1443" s="6" t="str">
        <f>HYPERLINK("http://www.ocrl.org/tc-home")</f>
        <v>http://www.ocrl.org/tc-home</v>
      </c>
    </row>
    <row r="1444" spans="1:7" ht="15">
      <c r="A1444" s="2" t="s">
        <v>4265</v>
      </c>
      <c r="D1444" s="1" t="s">
        <v>5519</v>
      </c>
      <c r="E1444" s="5" t="str">
        <f>HYPERLINK("mailto:info@atltcaa.org","info@atltcaa.org")</f>
        <v>info@atltcaa.org</v>
      </c>
      <c r="F1444" s="6" t="str">
        <f>HYPERLINK("https://www.atltcaa.org/")</f>
        <v>https://www.atltcaa.org/</v>
      </c>
      <c r="G1444" s="5" t="str">
        <f>HYPERLINK("https://www.facebook.com/atltcaa")</f>
        <v>https://www.facebook.com/atltcaa</v>
      </c>
    </row>
    <row r="1445" spans="1:6" ht="15">
      <c r="A1445" s="2" t="s">
        <v>892</v>
      </c>
      <c r="B1445" s="1" t="s">
        <v>893</v>
      </c>
      <c r="C1445" s="1" t="s">
        <v>894</v>
      </c>
      <c r="D1445" s="1" t="s">
        <v>4536</v>
      </c>
      <c r="F1445" s="6" t="str">
        <f>HYPERLINK("https://chattoogacountylibrary.org/?page_id=5")</f>
        <v>https://chattoogacountylibrary.org/?page_id=5</v>
      </c>
    </row>
    <row r="1446" spans="1:6" ht="15">
      <c r="A1446" s="2" t="s">
        <v>1917</v>
      </c>
      <c r="B1446" s="1" t="s">
        <v>1714</v>
      </c>
      <c r="C1446" s="1" t="s">
        <v>1918</v>
      </c>
      <c r="D1446" s="1" t="s">
        <v>4786</v>
      </c>
      <c r="E1446" s="5" t="str">
        <f>HYPERLINK("mailto:info@trouparchives.org","info@trouparchives.org")</f>
        <v>info@trouparchives.org</v>
      </c>
      <c r="F1446" s="6" t="str">
        <f>HYPERLINK("http://www.trouparchives.org")</f>
        <v>http://www.trouparchives.org</v>
      </c>
    </row>
    <row r="1447" spans="1:6" ht="15">
      <c r="A1447" s="2" t="s">
        <v>3217</v>
      </c>
      <c r="B1447" s="1" t="s">
        <v>3218</v>
      </c>
      <c r="C1447" s="1" t="s">
        <v>3219</v>
      </c>
      <c r="D1447" s="1" t="s">
        <v>5223</v>
      </c>
      <c r="E1447" s="5" t="str">
        <f>HYPERLINK("mailto:library@brenau.edu","library@brenau.edu")</f>
        <v>library@brenau.edu</v>
      </c>
      <c r="F1447" s="6" t="str">
        <f>HYPERLINK("https://library.brenau.edu/")</f>
        <v>https://library.brenau.edu/</v>
      </c>
    </row>
    <row r="1448" spans="1:8" ht="15">
      <c r="A1448" s="2" t="s">
        <v>2328</v>
      </c>
      <c r="B1448" s="1" t="s">
        <v>2329</v>
      </c>
      <c r="C1448" s="1" t="s">
        <v>2330</v>
      </c>
      <c r="D1448" s="1" t="s">
        <v>4965</v>
      </c>
      <c r="F1448" s="6" t="str">
        <f>HYPERLINK("http://www.tubmanmuseum.com")</f>
        <v>http://www.tubmanmuseum.com</v>
      </c>
      <c r="G1448" s="5" t="str">
        <f>HYPERLINK("https://www.facebook.com/TubmanMuseum")</f>
        <v>https://www.facebook.com/TubmanMuseum</v>
      </c>
      <c r="H1448" s="5" t="str">
        <f>HYPERLINK("https://twitter.com/TubmanMuseum")</f>
        <v>https://twitter.com/TubmanMuseum</v>
      </c>
    </row>
    <row r="1449" spans="1:6" ht="15">
      <c r="A1449" s="2" t="s">
        <v>1048</v>
      </c>
      <c r="B1449" s="1" t="s">
        <v>1049</v>
      </c>
      <c r="C1449" s="1" t="s">
        <v>1050</v>
      </c>
      <c r="D1449" s="1" t="s">
        <v>4587</v>
      </c>
      <c r="F1449" s="6" t="str">
        <f>HYPERLINK("https://dekalblibrary.org/branches/tuck")</f>
        <v>https://dekalblibrary.org/branches/tuck</v>
      </c>
    </row>
    <row r="1450" spans="1:6" ht="15">
      <c r="A1450" s="2" t="s">
        <v>1922</v>
      </c>
      <c r="B1450" s="1" t="s">
        <v>1923</v>
      </c>
      <c r="C1450" s="1" t="s">
        <v>1924</v>
      </c>
      <c r="D1450" s="1" t="s">
        <v>4851</v>
      </c>
      <c r="F1450" s="6" t="str">
        <f>HYPERLINK("https://www.civilwarrailroadtunnel.com/")</f>
        <v>https://www.civilwarrailroadtunnel.com/</v>
      </c>
    </row>
    <row r="1451" ht="15">
      <c r="A1451" s="2" t="s">
        <v>3824</v>
      </c>
    </row>
    <row r="1452" spans="1:6" ht="15">
      <c r="A1452" s="2" t="s">
        <v>808</v>
      </c>
      <c r="B1452" s="1" t="s">
        <v>809</v>
      </c>
      <c r="C1452" s="1" t="s">
        <v>810</v>
      </c>
      <c r="D1452" s="1" t="s">
        <v>4508</v>
      </c>
      <c r="F1452" s="6" t="str">
        <f>HYPERLINK("http://bibblib.org/locations/twiggs-county-public-library/")</f>
        <v>http://bibblib.org/locations/twiggs-county-public-library/</v>
      </c>
    </row>
    <row r="1453" spans="1:6" ht="15">
      <c r="A1453" s="2" t="s">
        <v>2331</v>
      </c>
      <c r="B1453" s="1" t="s">
        <v>2332</v>
      </c>
      <c r="C1453" s="1" t="s">
        <v>2333</v>
      </c>
      <c r="F1453" s="6" t="str">
        <f>HYPERLINK("http://www.tllsga.org")</f>
        <v>http://www.tllsga.org</v>
      </c>
    </row>
    <row r="1454" spans="1:8" ht="15">
      <c r="A1454" s="2" t="s">
        <v>4266</v>
      </c>
      <c r="F1454" s="6" t="str">
        <f>HYPERLINK("http://www.twinheadtheatre.org/")</f>
        <v>http://www.twinheadtheatre.org/</v>
      </c>
      <c r="G1454" s="5" t="str">
        <f>HYPERLINK("https://www.facebook.com/twnhdtheatre")</f>
        <v>https://www.facebook.com/twnhdtheatre</v>
      </c>
      <c r="H1454" s="5" t="str">
        <f>HYPERLINK("https://twitter.com/twinheadtheatre")</f>
        <v>https://twitter.com/twinheadtheatre</v>
      </c>
    </row>
    <row r="1455" spans="1:8" ht="15">
      <c r="A1455" s="2" t="s">
        <v>2334</v>
      </c>
      <c r="B1455" s="1" t="s">
        <v>2335</v>
      </c>
      <c r="C1455" s="1" t="s">
        <v>2336</v>
      </c>
      <c r="D1455" s="1" t="s">
        <v>4966</v>
      </c>
      <c r="E1455" s="5" t="str">
        <f>HYPERLINK("mailto:infotycobbmuseum@gmail.com","infotycobbmuseum@gmail.com")</f>
        <v>infotycobbmuseum@gmail.com</v>
      </c>
      <c r="F1455" s="6" t="str">
        <f>HYPERLINK("https://tycobbmuseum.org/")</f>
        <v>https://tycobbmuseum.org/</v>
      </c>
      <c r="G1455" s="5" t="str">
        <f>HYPERLINK("https://www.facebook.com/TyCobbMuseum.org")</f>
        <v>https://www.facebook.com/TyCobbMuseum.org</v>
      </c>
      <c r="H1455" s="5" t="str">
        <f>HYPERLINK("https://twitter.com/TyCobbMuseum")</f>
        <v>https://twitter.com/TyCobbMuseum</v>
      </c>
    </row>
    <row r="1456" spans="1:6" ht="15">
      <c r="A1456" s="2" t="s">
        <v>3983</v>
      </c>
      <c r="B1456" s="1" t="s">
        <v>3984</v>
      </c>
      <c r="C1456" s="1" t="s">
        <v>3985</v>
      </c>
      <c r="D1456" s="1" t="s">
        <v>5417</v>
      </c>
      <c r="E1456" s="5" t="str">
        <f>HYPERLINK("mailto:sgillen@cityoftybee.org","sgillen@cityoftybee.org")</f>
        <v>sgillen@cityoftybee.org</v>
      </c>
      <c r="F1456" s="6" t="str">
        <f>HYPERLINK("https://www.cityoftybee.org/")</f>
        <v>https://www.cityoftybee.org/</v>
      </c>
    </row>
    <row r="1457" spans="1:6" ht="30">
      <c r="A1457" s="2" t="s">
        <v>2354</v>
      </c>
      <c r="B1457" s="1" t="s">
        <v>2355</v>
      </c>
      <c r="C1457" s="1" t="s">
        <v>2356</v>
      </c>
      <c r="D1457" s="1" t="s">
        <v>4970</v>
      </c>
      <c r="F1457" s="6" t="str">
        <f>HYPERLINK("https://www.cityoftybee.org/Facilities/Facility/Details/The-Guard-House-7")</f>
        <v>https://www.cityoftybee.org/Facilities/Facility/Details/The-Guard-House-7</v>
      </c>
    </row>
    <row r="1458" spans="1:6" ht="15">
      <c r="A1458" s="2" t="s">
        <v>2997</v>
      </c>
      <c r="B1458" s="1" t="s">
        <v>2338</v>
      </c>
      <c r="C1458" s="1" t="s">
        <v>2998</v>
      </c>
      <c r="D1458" s="1" t="s">
        <v>4967</v>
      </c>
      <c r="E1458" s="5" t="str">
        <f>HYPERLINK("mailto:volunteers@tybeelighthouse.org","volunteers@tybeelighthouse.org")</f>
        <v>volunteers@tybeelighthouse.org</v>
      </c>
      <c r="F1458" s="6" t="str">
        <f>HYPERLINK("https://www.tybeelighthouse.org/historical-society-1-1")</f>
        <v>https://www.tybeelighthouse.org/historical-society-1-1</v>
      </c>
    </row>
    <row r="1459" spans="1:7" ht="15">
      <c r="A1459" s="2" t="s">
        <v>2337</v>
      </c>
      <c r="B1459" s="1" t="s">
        <v>2338</v>
      </c>
      <c r="C1459" s="1" t="s">
        <v>2339</v>
      </c>
      <c r="D1459" s="1" t="s">
        <v>4967</v>
      </c>
      <c r="F1459" s="6" t="str">
        <f>HYPERLINK("https://www.tybeelighthouse.org/")</f>
        <v>https://www.tybeelighthouse.org/</v>
      </c>
      <c r="G1459" s="5" t="str">
        <f>HYPERLINK("https://www.facebook.com/tybeelighthouse")</f>
        <v>https://www.facebook.com/tybeelighthouse</v>
      </c>
    </row>
    <row r="1460" spans="1:7" ht="15">
      <c r="A1460" s="2" t="s">
        <v>2357</v>
      </c>
      <c r="B1460" s="1" t="s">
        <v>2358</v>
      </c>
      <c r="C1460" s="1" t="s">
        <v>2359</v>
      </c>
      <c r="D1460" s="1" t="s">
        <v>4971</v>
      </c>
      <c r="F1460" s="6" t="str">
        <f>HYPERLINK("https://www.tybeemarinescience.org/")</f>
        <v>https://www.tybeemarinescience.org/</v>
      </c>
      <c r="G1460" s="5" t="str">
        <f>HYPERLINK("https://www.facebook.com/TybeeMarineScience")</f>
        <v>https://www.facebook.com/TybeeMarineScience</v>
      </c>
    </row>
    <row r="1461" spans="1:6" ht="15">
      <c r="A1461" s="2" t="s">
        <v>2168</v>
      </c>
      <c r="B1461" s="1" t="s">
        <v>2169</v>
      </c>
      <c r="C1461" s="1" t="s">
        <v>2170</v>
      </c>
      <c r="D1461" s="1" t="s">
        <v>4920</v>
      </c>
      <c r="E1461" s="5" t="str">
        <f>HYPERLINK("mailto:powersl@liveoakpl.org","powersl@liveoakpl.org")</f>
        <v>powersl@liveoakpl.org</v>
      </c>
      <c r="F1461" s="6" t="str">
        <f>HYPERLINK("https://liveoakpl.org/locations/tybee")</f>
        <v>https://liveoakpl.org/locations/tybee</v>
      </c>
    </row>
    <row r="1462" spans="1:6" ht="15">
      <c r="A1462" s="2" t="s">
        <v>1438</v>
      </c>
      <c r="B1462" s="1" t="s">
        <v>1439</v>
      </c>
      <c r="C1462" s="1" t="s">
        <v>1440</v>
      </c>
      <c r="D1462" s="1" t="s">
        <v>4710</v>
      </c>
      <c r="F1462" s="6" t="str">
        <f>HYPERLINK("http://tyrone.org/library/")</f>
        <v>http://tyrone.org/library/</v>
      </c>
    </row>
    <row r="1463" spans="1:6" ht="30">
      <c r="A1463" s="2" t="s">
        <v>2626</v>
      </c>
      <c r="B1463" s="1" t="s">
        <v>2627</v>
      </c>
      <c r="C1463" s="1" t="s">
        <v>2628</v>
      </c>
      <c r="D1463" s="1" t="s">
        <v>5053</v>
      </c>
      <c r="E1463" s="5" t="str">
        <f>HYPERLINK("mailto:usarmy.benning.mcoe.mbx.donovan-ref-desk@mail.mil","usarmy.benning.mcoe.mbx.donovan-ref-desk@mail.mil")</f>
        <v>usarmy.benning.mcoe.mbx.donovan-ref-desk@mail.mil</v>
      </c>
      <c r="F1463" s="6" t="str">
        <f>HYPERLINK("http://www.benning.army.mil/library/")</f>
        <v>http://www.benning.army.mil/library/</v>
      </c>
    </row>
    <row r="1464" spans="1:6" ht="15">
      <c r="A1464" s="2" t="s">
        <v>2340</v>
      </c>
      <c r="C1464" s="1" t="s">
        <v>2341</v>
      </c>
      <c r="E1464" s="5" t="str">
        <f>HYPERLINK("mailto:icps@georgiasouthern.edu","icps@georgiasouthern.edu")</f>
        <v>icps@georgiasouthern.edu</v>
      </c>
      <c r="F1464" s="6" t="str">
        <f>HYPERLINK("https://cosm.georgiasouthern.edu/usntc/")</f>
        <v>https://cosm.georgiasouthern.edu/usntc/</v>
      </c>
    </row>
    <row r="1465" spans="1:6" ht="15">
      <c r="A1465" s="2" t="s">
        <v>3204</v>
      </c>
      <c r="B1465" s="1" t="s">
        <v>3205</v>
      </c>
      <c r="C1465" s="1" t="s">
        <v>3206</v>
      </c>
      <c r="D1465" s="1" t="s">
        <v>5220</v>
      </c>
      <c r="E1465" s="5" t="str">
        <f>HYPERLINK("mailto:artlibrary@uga.edu","artlibrary@uga.edu")</f>
        <v>artlibrary@uga.edu</v>
      </c>
      <c r="F1465" s="6" t="str">
        <f>HYPERLINK("https://art.uga.edu/about/facilities/art-library")</f>
        <v>https://art.uga.edu/about/facilities/art-library</v>
      </c>
    </row>
    <row r="1466" spans="1:7" ht="15">
      <c r="A1466" s="2" t="s">
        <v>457</v>
      </c>
      <c r="B1466" s="1" t="s">
        <v>458</v>
      </c>
      <c r="C1466" s="1" t="s">
        <v>459</v>
      </c>
      <c r="D1466" s="1" t="s">
        <v>4410</v>
      </c>
      <c r="E1466" s="5" t="str">
        <f>HYPERLINK("mailto:carnegielibrary@uga.edu","carnegielibrary@uga.edu")</f>
        <v>carnegielibrary@uga.edu</v>
      </c>
      <c r="F1466" s="6" t="str">
        <f>HYPERLINK("https://www.libs.uga.edu/carnegie")</f>
        <v>https://www.libs.uga.edu/carnegie</v>
      </c>
      <c r="G1466" s="5" t="str">
        <f>HYPERLINK("https://www.facebook.com/ugacarnegielibrary")</f>
        <v>https://www.facebook.com/ugacarnegielibrary</v>
      </c>
    </row>
    <row r="1467" spans="1:6" ht="15">
      <c r="A1467" s="2" t="s">
        <v>3201</v>
      </c>
      <c r="B1467" s="1" t="s">
        <v>3202</v>
      </c>
      <c r="C1467" s="1" t="s">
        <v>3203</v>
      </c>
      <c r="D1467" s="1" t="s">
        <v>5219</v>
      </c>
      <c r="E1467" s="5" t="str">
        <f>HYPERLINK("mailto:cml@uga.edu","cml@uga.edu")</f>
        <v>cml@uga.edu</v>
      </c>
      <c r="F1467" s="6" t="str">
        <f>HYPERLINK("https://www.libs.uga.edu/cml/")</f>
        <v>https://www.libs.uga.edu/cml/</v>
      </c>
    </row>
    <row r="1468" spans="1:6" ht="15">
      <c r="A1468" s="2" t="s">
        <v>3188</v>
      </c>
      <c r="B1468" s="1" t="s">
        <v>3189</v>
      </c>
      <c r="C1468" s="1" t="s">
        <v>3190</v>
      </c>
      <c r="D1468" s="1" t="s">
        <v>5215</v>
      </c>
      <c r="F1468" s="6" t="str">
        <f>HYPERLINK("https://www.libs.uga.edu/locations/main")</f>
        <v>https://www.libs.uga.edu/locations/main</v>
      </c>
    </row>
    <row r="1469" spans="1:6" ht="15">
      <c r="A1469" s="2" t="s">
        <v>3200</v>
      </c>
      <c r="B1469" s="1" t="s">
        <v>3189</v>
      </c>
      <c r="C1469" s="1" t="s">
        <v>3190</v>
      </c>
      <c r="D1469" s="1" t="s">
        <v>5218</v>
      </c>
      <c r="E1469" s="5" t="str">
        <f>HYPERLINK("mailto:mapsinfo@uga.edu","mapsinfo@uga.edu")</f>
        <v>mapsinfo@uga.edu</v>
      </c>
      <c r="F1469" s="6" t="str">
        <f>HYPERLINK("https://www.libs.uga.edu/magil/")</f>
        <v>https://www.libs.uga.edu/magil/</v>
      </c>
    </row>
    <row r="1470" spans="1:6" ht="15">
      <c r="A1470" s="2" t="s">
        <v>3194</v>
      </c>
      <c r="B1470" s="1" t="s">
        <v>3195</v>
      </c>
      <c r="C1470" s="1" t="s">
        <v>3196</v>
      </c>
      <c r="D1470" s="1" t="s">
        <v>5217</v>
      </c>
      <c r="F1470" s="6" t="str">
        <f>HYPERLINK("https://mlc.uga.edu/")</f>
        <v>https://mlc.uga.edu/</v>
      </c>
    </row>
    <row r="1471" spans="1:6" ht="15">
      <c r="A1471" s="2" t="s">
        <v>3207</v>
      </c>
      <c r="B1471" s="1" t="s">
        <v>3208</v>
      </c>
      <c r="C1471" s="1" t="s">
        <v>3209</v>
      </c>
      <c r="D1471" s="1" t="s">
        <v>5221</v>
      </c>
      <c r="F1471" s="6" t="str">
        <f>HYPERLINK("https://www.libs.uga.edu/locations/music")</f>
        <v>https://www.libs.uga.edu/locations/music</v>
      </c>
    </row>
    <row r="1472" spans="1:6" ht="15">
      <c r="A1472" s="2" t="s">
        <v>3197</v>
      </c>
      <c r="B1472" s="1" t="s">
        <v>3198</v>
      </c>
      <c r="C1472" s="1" t="s">
        <v>3199</v>
      </c>
      <c r="D1472" s="1" t="s">
        <v>4428</v>
      </c>
      <c r="E1472" s="5" t="str">
        <f>HYPERLINK("mailto:sclib@uga.edu","sclib@uga.edu")</f>
        <v>sclib@uga.edu</v>
      </c>
      <c r="F1472" s="6" t="str">
        <f>HYPERLINK("http://www.libs.uga.edu/scl/")</f>
        <v>http://www.libs.uga.edu/scl/</v>
      </c>
    </row>
    <row r="1473" spans="1:8" ht="15">
      <c r="A1473" s="2" t="s">
        <v>139</v>
      </c>
      <c r="E1473" s="5" t="str">
        <f>HYPERLINK("mailto:ujimagen@gmail.com","ujimagen@gmail.com")</f>
        <v>ujimagen@gmail.com</v>
      </c>
      <c r="F1473" s="6" t="str">
        <f>HYPERLINK("https://ujimagen.org/")</f>
        <v>https://ujimagen.org/</v>
      </c>
      <c r="G1473" s="5" t="str">
        <f>HYPERLINK("https://www.facebook.com/ujimagen")</f>
        <v>https://www.facebook.com/ujimagen</v>
      </c>
      <c r="H1473" s="5" t="str">
        <f>HYPERLINK("https://twitter.com/ujimagen")</f>
        <v>https://twitter.com/ujimagen</v>
      </c>
    </row>
    <row r="1474" spans="1:6" ht="15">
      <c r="A1474" s="2" t="s">
        <v>1919</v>
      </c>
      <c r="B1474" s="1" t="s">
        <v>1920</v>
      </c>
      <c r="C1474" s="1" t="s">
        <v>1921</v>
      </c>
      <c r="D1474" s="1" t="s">
        <v>4850</v>
      </c>
      <c r="F1474" s="6" t="str">
        <f>HYPERLINK("http://www.uncleremusmuseum.org")</f>
        <v>http://www.uncleremusmuseum.org</v>
      </c>
    </row>
    <row r="1475" spans="1:6" ht="15">
      <c r="A1475" s="2" t="s">
        <v>3212</v>
      </c>
      <c r="B1475" s="1" t="s">
        <v>3069</v>
      </c>
      <c r="C1475" s="1" t="s">
        <v>3213</v>
      </c>
      <c r="D1475" s="1" t="s">
        <v>5184</v>
      </c>
      <c r="E1475" s="5" t="str">
        <f>HYPERLINK("mailto:askus@ung.edu","askus@ung.edu")</f>
        <v>askus@ung.edu</v>
      </c>
      <c r="F1475" s="6" t="str">
        <f>HYPERLINK("https://ung.edu/libraries/campus-libraries/gainesville.php")</f>
        <v>https://ung.edu/libraries/campus-libraries/gainesville.php</v>
      </c>
    </row>
    <row r="1476" spans="1:6" ht="15">
      <c r="A1476" s="2" t="s">
        <v>3210</v>
      </c>
      <c r="B1476" s="1" t="s">
        <v>2809</v>
      </c>
      <c r="C1476" s="1" t="s">
        <v>3211</v>
      </c>
      <c r="D1476" s="1" t="s">
        <v>5109</v>
      </c>
      <c r="E1476" s="5" t="str">
        <f>HYPERLINK("mailto:askus@ung.edu","askus@ung.edu")</f>
        <v>askus@ung.edu</v>
      </c>
      <c r="F1476" s="6" t="str">
        <f>HYPERLINK("https://ung.edu/libraries/campus-libraries/dahlonega.php")</f>
        <v>https://ung.edu/libraries/campus-libraries/dahlonega.php</v>
      </c>
    </row>
    <row r="1477" spans="1:6" ht="15">
      <c r="A1477" s="2" t="s">
        <v>3214</v>
      </c>
      <c r="B1477" s="1" t="s">
        <v>3215</v>
      </c>
      <c r="C1477" s="1" t="s">
        <v>3216</v>
      </c>
      <c r="D1477" s="1" t="s">
        <v>5222</v>
      </c>
      <c r="E1477" s="5" t="str">
        <f>HYPERLINK("mailto:askus@ung.edu","askus@ung.edu")</f>
        <v>askus@ung.edu</v>
      </c>
      <c r="F1477" s="6" t="str">
        <f>HYPERLINK("https://ung.edu/libraries/campus-libraries/oconee.php")</f>
        <v>https://ung.edu/libraries/campus-libraries/oconee.php</v>
      </c>
    </row>
    <row r="1478" spans="1:7" ht="15">
      <c r="A1478" s="2" t="s">
        <v>2999</v>
      </c>
      <c r="B1478" s="1" t="s">
        <v>3000</v>
      </c>
      <c r="C1478" s="1" t="s">
        <v>3001</v>
      </c>
      <c r="D1478" s="1" t="s">
        <v>5164</v>
      </c>
      <c r="E1478" s="5" t="str">
        <f>HYPERLINK("mailto:history1@windstream.net","history1@windstream.net")</f>
        <v>history1@windstream.net</v>
      </c>
      <c r="F1478" s="6" t="str">
        <f>HYPERLINK("http://www.unioncountyhistory.org")</f>
        <v>http://www.unioncountyhistory.org</v>
      </c>
      <c r="G1478" s="5" t="str">
        <f>HYPERLINK("https://www.facebook.com/Union-County-Historical-Society-446086265310")</f>
        <v>https://www.facebook.com/Union-County-Historical-Society-446086265310</v>
      </c>
    </row>
    <row r="1479" spans="1:6" ht="15">
      <c r="A1479" s="2" t="s">
        <v>2191</v>
      </c>
      <c r="B1479" s="1" t="s">
        <v>2192</v>
      </c>
      <c r="C1479" s="1" t="s">
        <v>2193</v>
      </c>
      <c r="D1479" s="1" t="s">
        <v>4928</v>
      </c>
      <c r="E1479" s="5" t="str">
        <f>HYPERLINK("mailto:union@mountainregionallibrary.org","union@mountainregionallibrary.org")</f>
        <v>union@mountainregionallibrary.org</v>
      </c>
      <c r="F1479" s="6" t="str">
        <f>HYPERLINK("https://www.mountainregionallibrary.org/union-county-public-library")</f>
        <v>https://www.mountainregionallibrary.org/union-county-public-library</v>
      </c>
    </row>
    <row r="1480" spans="1:7" ht="30">
      <c r="A1480" s="2" t="s">
        <v>3002</v>
      </c>
      <c r="D1480" s="1" t="s">
        <v>5165</v>
      </c>
      <c r="E1480" s="5" t="str">
        <f>HYPERLINK("mailto:dixeefamily@yahoo.com","dixeefamily@yahoo.com")</f>
        <v>dixeefamily@yahoo.com</v>
      </c>
      <c r="F1480" s="6" t="str">
        <f>HYPERLINK("http://www.savannah2udc.org/")</f>
        <v>http://www.savannah2udc.org/</v>
      </c>
      <c r="G1480" s="5" t="str">
        <f>HYPERLINK("https://www.facebook.com/SavannahChapterUDC")</f>
        <v>https://www.facebook.com/SavannahChapterUDC</v>
      </c>
    </row>
    <row r="1481" spans="1:6" ht="30">
      <c r="A1481" s="2" t="s">
        <v>3003</v>
      </c>
      <c r="E1481" s="5" t="str">
        <f>HYPERLINK("mailto:mgwhitt1@bellsouth.net","mgwhitt1@bellsouth.net")</f>
        <v>mgwhitt1@bellsouth.net</v>
      </c>
      <c r="F1481" s="6" t="str">
        <f>HYPERLINK("http://sites.rootsweb.com/~gausd1812/index.html")</f>
        <v>http://sites.rootsweb.com/~gausd1812/index.html</v>
      </c>
    </row>
    <row r="1482" spans="1:3" ht="15">
      <c r="A1482" s="2" t="s">
        <v>2342</v>
      </c>
      <c r="C1482" s="1" t="s">
        <v>2343</v>
      </c>
    </row>
    <row r="1483" spans="1:6" ht="15">
      <c r="A1483" s="2" t="s">
        <v>616</v>
      </c>
      <c r="B1483" s="1" t="s">
        <v>617</v>
      </c>
      <c r="C1483" s="1" t="s">
        <v>618</v>
      </c>
      <c r="D1483" s="1" t="s">
        <v>4451</v>
      </c>
      <c r="F1483" s="6" t="str">
        <f>HYPERLINK("https://www.plantbio.uga.edu/uga-herbarium")</f>
        <v>https://www.plantbio.uga.edu/uga-herbarium</v>
      </c>
    </row>
    <row r="1484" ht="15">
      <c r="A1484" s="2" t="s">
        <v>666</v>
      </c>
    </row>
    <row r="1485" spans="1:6" ht="15">
      <c r="A1485" s="2" t="s">
        <v>3120</v>
      </c>
      <c r="B1485" s="1" t="s">
        <v>3121</v>
      </c>
      <c r="C1485" s="1" t="s">
        <v>3122</v>
      </c>
      <c r="D1485" s="1" t="s">
        <v>5198</v>
      </c>
      <c r="F1485" s="6" t="str">
        <f>HYPERLINK("https://gacoast.uga.edu/")</f>
        <v>https://gacoast.uga.edu/</v>
      </c>
    </row>
    <row r="1486" spans="1:6" ht="15">
      <c r="A1486" s="2" t="s">
        <v>3517</v>
      </c>
      <c r="B1486" s="1" t="s">
        <v>3518</v>
      </c>
      <c r="C1486" s="1" t="s">
        <v>3519</v>
      </c>
      <c r="D1486" s="1" t="s">
        <v>5306</v>
      </c>
      <c r="E1486" s="5" t="str">
        <f>HYPERLINK("mailto:rebecca.rose@ung.edu","rebecca.rose@ung.edu")</f>
        <v>rebecca.rose@ung.edu</v>
      </c>
      <c r="F1486" s="6" t="str">
        <f>HYPERLINK("https://ung.edu/libraries/campus-libraries/cumming.php")</f>
        <v>https://ung.edu/libraries/campus-libraries/cumming.php</v>
      </c>
    </row>
    <row r="1487" spans="1:5" ht="30">
      <c r="A1487" s="2" t="s">
        <v>2808</v>
      </c>
      <c r="B1487" s="1" t="s">
        <v>2809</v>
      </c>
      <c r="C1487" s="1" t="s">
        <v>2810</v>
      </c>
      <c r="D1487" s="1" t="s">
        <v>5109</v>
      </c>
      <c r="E1487" s="5" t="str">
        <f>HYPERLINK("mailto:askus@ung.edu","askus@ung.edu")</f>
        <v>askus@ung.edu</v>
      </c>
    </row>
    <row r="1488" spans="1:6" ht="30">
      <c r="A1488" s="2" t="s">
        <v>3068</v>
      </c>
      <c r="B1488" s="1" t="s">
        <v>3069</v>
      </c>
      <c r="C1488" s="1" t="s">
        <v>3070</v>
      </c>
      <c r="D1488" s="1" t="s">
        <v>5184</v>
      </c>
      <c r="E1488" s="5" t="str">
        <f>HYPERLINK("mailto:askus@ung.edu","askus@ung.edu")</f>
        <v>askus@ung.edu</v>
      </c>
      <c r="F1488" s="6" t="str">
        <f>HYPERLINK("https://ung.edu/libraries/sc-archives/index.php")</f>
        <v>https://ung.edu/libraries/sc-archives/index.php</v>
      </c>
    </row>
    <row r="1489" spans="1:6" ht="15">
      <c r="A1489" s="2" t="s">
        <v>3005</v>
      </c>
      <c r="B1489" s="1" t="s">
        <v>3006</v>
      </c>
      <c r="C1489" s="1" t="s">
        <v>3007</v>
      </c>
      <c r="D1489" s="1" t="s">
        <v>5167</v>
      </c>
      <c r="F1489" s="6" t="str">
        <f>HYPERLINK("https://www.westga.edu/library/")</f>
        <v>https://www.westga.edu/library/</v>
      </c>
    </row>
    <row r="1490" spans="1:6" ht="15">
      <c r="A1490" s="2" t="s">
        <v>3008</v>
      </c>
      <c r="F1490" s="6" t="str">
        <f>HYPERLINK("https://sites.rootsweb.com/~gauhs/index.html")</f>
        <v>https://sites.rootsweb.com/~gauhs/index.html</v>
      </c>
    </row>
    <row r="1491" spans="1:7" ht="15">
      <c r="A1491" s="2" t="s">
        <v>3009</v>
      </c>
      <c r="B1491" s="1" t="s">
        <v>3010</v>
      </c>
      <c r="C1491" s="1" t="s">
        <v>3011</v>
      </c>
      <c r="D1491" s="1" t="s">
        <v>5168</v>
      </c>
      <c r="G1491" s="5" t="str">
        <f>HYPERLINK("https://www.facebook.com/valdostaheritagefoundation")</f>
        <v>https://www.facebook.com/valdostaheritagefoundation</v>
      </c>
    </row>
    <row r="1492" spans="1:8" ht="30">
      <c r="A1492" s="2" t="s">
        <v>541</v>
      </c>
      <c r="B1492" s="1" t="s">
        <v>542</v>
      </c>
      <c r="C1492" s="1" t="s">
        <v>543</v>
      </c>
      <c r="D1492" s="1" t="s">
        <v>4429</v>
      </c>
      <c r="F1492" s="6" t="str">
        <f>HYPERLINK("https://www.valdosta.edu/academics/library/depts/archives-and-special-collections/")</f>
        <v>https://www.valdosta.edu/academics/library/depts/archives-and-special-collections/</v>
      </c>
      <c r="G1492" s="5" t="str">
        <f>HYPERLINK("https://www.facebook.com/ValdostaStateArchives")</f>
        <v>https://www.facebook.com/ValdostaStateArchives</v>
      </c>
      <c r="H1492" s="5" t="str">
        <f>HYPERLINK("https://twitter.com/vstatearchives")</f>
        <v>https://twitter.com/vstatearchives</v>
      </c>
    </row>
    <row r="1493" spans="1:5" ht="15">
      <c r="A1493" s="2" t="s">
        <v>3017</v>
      </c>
      <c r="D1493" s="1" t="s">
        <v>5171</v>
      </c>
      <c r="E1493" s="5" t="str">
        <f>HYPERLINK("mailto:reinberg@uga.edu","reinberg@uga.edu")</f>
        <v>reinberg@uga.edu</v>
      </c>
    </row>
    <row r="1494" spans="1:7" ht="15">
      <c r="A1494" s="2" t="s">
        <v>3821</v>
      </c>
      <c r="B1494" s="1" t="s">
        <v>3822</v>
      </c>
      <c r="C1494" s="1" t="s">
        <v>3823</v>
      </c>
      <c r="D1494" s="1" t="s">
        <v>5383</v>
      </c>
      <c r="G1494" s="5" t="str">
        <f>HYPERLINK("https://www.facebook.com/TheVeteransOfAllWarsMuseumMilitaryHistoryClub")</f>
        <v>https://www.facebook.com/TheVeteransOfAllWarsMuseumMilitaryHistoryClub</v>
      </c>
    </row>
    <row r="1495" spans="1:6" ht="15">
      <c r="A1495" s="2" t="s">
        <v>1498</v>
      </c>
      <c r="B1495" s="1" t="s">
        <v>1499</v>
      </c>
      <c r="C1495" s="1" t="s">
        <v>1500</v>
      </c>
      <c r="D1495" s="1" t="s">
        <v>4730</v>
      </c>
      <c r="F1495" s="6" t="str">
        <f>HYPERLINK("https://www.cprl.org/turner/")</f>
        <v>https://www.cprl.org/turner/</v>
      </c>
    </row>
    <row r="1496" spans="1:7" ht="15">
      <c r="A1496" s="2" t="s">
        <v>3012</v>
      </c>
      <c r="B1496" s="1" t="s">
        <v>3013</v>
      </c>
      <c r="C1496" s="1" t="s">
        <v>3014</v>
      </c>
      <c r="D1496" s="1" t="s">
        <v>5169</v>
      </c>
      <c r="E1496" s="5" t="str">
        <f>HYPERLINK("mailto:victoriansocietyinsavannah@gmail.com","victoriansocietyinsavannah@gmail.com")</f>
        <v>victoriansocietyinsavannah@gmail.com</v>
      </c>
      <c r="F1496" s="6" t="str">
        <f>HYPERLINK("https://victoriansociety.org/")</f>
        <v>https://victoriansociety.org/</v>
      </c>
      <c r="G1496" s="5" t="str">
        <f>HYPERLINK("https://www.facebook.com/SavannahChapteroftheVictorianSocietyinAmerica")</f>
        <v>https://www.facebook.com/SavannahChapteroftheVictorianSocietyinAmerica</v>
      </c>
    </row>
    <row r="1497" spans="1:6" ht="15">
      <c r="A1497" s="2" t="s">
        <v>1540</v>
      </c>
      <c r="B1497" s="1" t="s">
        <v>1541</v>
      </c>
      <c r="C1497" s="1" t="s">
        <v>1542</v>
      </c>
      <c r="D1497" s="1" t="s">
        <v>4744</v>
      </c>
      <c r="E1497" s="5" t="str">
        <f>HYPERLINK("mailto:outlerj@ohoopeelibrary.org","outlerj@ohoopeelibrary.org")</f>
        <v>outlerj@ohoopeelibrary.org</v>
      </c>
      <c r="F1497" s="6" t="str">
        <f>HYPERLINK("https://ohoopeelibrary.org/locations/vidalia-toombs-county-library/")</f>
        <v>https://ohoopeelibrary.org/locations/vidalia-toombs-county-library/</v>
      </c>
    </row>
    <row r="1498" spans="1:3" ht="15">
      <c r="A1498" s="2" t="s">
        <v>195</v>
      </c>
      <c r="B1498" s="1" t="s">
        <v>196</v>
      </c>
      <c r="C1498" s="1" t="s">
        <v>197</v>
      </c>
    </row>
    <row r="1499" spans="1:6" ht="15">
      <c r="A1499" s="2" t="s">
        <v>826</v>
      </c>
      <c r="B1499" s="1" t="s">
        <v>827</v>
      </c>
      <c r="C1499" s="1" t="s">
        <v>828</v>
      </c>
      <c r="D1499" s="1" t="s">
        <v>4514</v>
      </c>
      <c r="E1499" s="5" t="str">
        <f>HYPERLINK("mailto:ebridges@wgrls.org","ebridges@wgrls.org")</f>
        <v>ebridges@wgrls.org</v>
      </c>
      <c r="F1499" s="6" t="str">
        <f>HYPERLINK("http://www.wgrls.org/visit/villarica/")</f>
        <v>http://www.wgrls.org/visit/villarica/</v>
      </c>
    </row>
    <row r="1500" spans="1:6" ht="15">
      <c r="A1500" s="2" t="s">
        <v>3123</v>
      </c>
      <c r="B1500" s="1" t="s">
        <v>3124</v>
      </c>
      <c r="C1500" s="1" t="s">
        <v>3125</v>
      </c>
      <c r="D1500" s="1" t="s">
        <v>4989</v>
      </c>
      <c r="E1500" s="5" t="str">
        <f>HYPERLINK("mailto:info@andersonvillegeorgia.info","info@andersonvillegeorgia.info")</f>
        <v>info@andersonvillegeorgia.info</v>
      </c>
      <c r="F1500" s="6" t="str">
        <f>HYPERLINK("https://www.andersonvillegeorgia.info/our-facilities.html")</f>
        <v>https://www.andersonvillegeorgia.info/our-facilities.html</v>
      </c>
    </row>
    <row r="1501" spans="1:3" ht="15">
      <c r="A1501" s="2" t="s">
        <v>2346</v>
      </c>
      <c r="C1501" s="1" t="s">
        <v>2347</v>
      </c>
    </row>
    <row r="1502" spans="1:6" ht="15">
      <c r="A1502" s="2" t="s">
        <v>2081</v>
      </c>
      <c r="B1502" s="1" t="s">
        <v>2082</v>
      </c>
      <c r="C1502" s="1" t="s">
        <v>2083</v>
      </c>
      <c r="D1502" s="1" t="s">
        <v>4901</v>
      </c>
      <c r="F1502" s="6" t="str">
        <f>HYPERLINK("http://www.cobbcat.org/venue/vinings-library/")</f>
        <v>http://www.cobbcat.org/venue/vinings-library/</v>
      </c>
    </row>
    <row r="1503" spans="1:6" ht="15">
      <c r="A1503" s="2" t="s">
        <v>1366</v>
      </c>
      <c r="B1503" s="1" t="s">
        <v>1367</v>
      </c>
      <c r="C1503" s="1" t="s">
        <v>1368</v>
      </c>
      <c r="D1503" s="1" t="s">
        <v>4687</v>
      </c>
      <c r="E1503" s="5" t="str">
        <f>HYPERLINK("mailto:amy@uncleremus.org","amy@uncleremus.org")</f>
        <v>amy@uncleremus.org</v>
      </c>
      <c r="F1503" s="6" t="str">
        <f>HYPERLINK("http://azalealibraries.org/stanton.htm")</f>
        <v>http://azalealibraries.org/stanton.htm</v>
      </c>
    </row>
    <row r="1504" spans="1:6" ht="15">
      <c r="A1504" s="2" t="s">
        <v>2171</v>
      </c>
      <c r="B1504" s="1" t="s">
        <v>2172</v>
      </c>
      <c r="C1504" s="1" t="s">
        <v>2173</v>
      </c>
      <c r="D1504" s="1" t="s">
        <v>4921</v>
      </c>
      <c r="E1504" s="5" t="str">
        <f>HYPERLINK("mailto:mckivers@liveoakpl.org","mckivers@liveoakpl.org")</f>
        <v>mckivers@liveoakpl.org</v>
      </c>
      <c r="F1504" s="6" t="str">
        <f>HYPERLINK("https://liveoakpl.org/locations/wwlaw")</f>
        <v>https://liveoakpl.org/locations/wwlaw</v>
      </c>
    </row>
    <row r="1505" spans="1:6" ht="15">
      <c r="A1505" s="2" t="s">
        <v>1282</v>
      </c>
      <c r="B1505" s="1" t="s">
        <v>1283</v>
      </c>
      <c r="C1505" s="1" t="s">
        <v>1284</v>
      </c>
      <c r="D1505" s="1" t="s">
        <v>4659</v>
      </c>
      <c r="F1505" s="6" t="str">
        <f>HYPERLINK("https://jefferson.public.lib.ga.us/library-branches/")</f>
        <v>https://jefferson.public.lib.ga.us/library-branches/</v>
      </c>
    </row>
    <row r="1506" spans="1:6" ht="30">
      <c r="A1506" s="2" t="s">
        <v>3820</v>
      </c>
      <c r="D1506" s="1" t="s">
        <v>5382</v>
      </c>
      <c r="E1506" s="5" t="str">
        <f>HYPERLINK("mailto:bfo8936134@aol.com","bfo8936134@aol.com")</f>
        <v>bfo8936134@aol.com</v>
      </c>
      <c r="F1506" s="6" t="str">
        <f>HYPERLINK("http://sites.rootsweb.com/~gawcaaha/index.htm")</f>
        <v>http://sites.rootsweb.com/~gawcaaha/index.htm</v>
      </c>
    </row>
    <row r="1507" spans="1:7" ht="15">
      <c r="A1507" s="2" t="s">
        <v>3015</v>
      </c>
      <c r="B1507" s="1" t="s">
        <v>1511</v>
      </c>
      <c r="C1507" s="1" t="s">
        <v>3016</v>
      </c>
      <c r="D1507" s="1" t="s">
        <v>5170</v>
      </c>
      <c r="E1507" s="5" t="str">
        <f>HYPERLINK("mailto:dboyle1946@comcast.net","dboyle1946@comcast.net")</f>
        <v>dboyle1946@comcast.net</v>
      </c>
      <c r="G1507" s="5" t="str">
        <f>HYPERLINK("https://www.facebook.com/WalkerCountyHistoricalSociety")</f>
        <v>https://www.facebook.com/WalkerCountyHistoricalSociety</v>
      </c>
    </row>
    <row r="1508" spans="1:6" ht="15">
      <c r="A1508" s="2" t="s">
        <v>1405</v>
      </c>
      <c r="B1508" s="1" t="s">
        <v>1406</v>
      </c>
      <c r="C1508" s="1" t="s">
        <v>1407</v>
      </c>
      <c r="D1508" s="1" t="s">
        <v>4699</v>
      </c>
      <c r="F1508" s="6" t="str">
        <f>HYPERLINK("https://arcpls.org/locations/wallace-2/")</f>
        <v>https://arcpls.org/locations/wallace-2/</v>
      </c>
    </row>
    <row r="1509" spans="1:7" ht="15">
      <c r="A1509" s="2" t="s">
        <v>2307</v>
      </c>
      <c r="B1509" s="1" t="s">
        <v>2308</v>
      </c>
      <c r="C1509" s="1" t="s">
        <v>2309</v>
      </c>
      <c r="D1509" s="1" t="s">
        <v>4959</v>
      </c>
      <c r="E1509" s="5" t="str">
        <f>HYPERLINK("mailto:dana@uncleremus.org","dana@uncleremus.org")</f>
        <v>dana@uncleremus.org</v>
      </c>
      <c r="F1509" s="6" t="str">
        <f>HYPERLINK("http://azalealibraries.org/walnut.htm")</f>
        <v>http://azalealibraries.org/walnut.htm</v>
      </c>
      <c r="G1509" s="5" t="str">
        <f>HYPERLINK("https://www.facebook.com/Walnut-Grove-Public-Library-61807862825427")</f>
        <v>https://www.facebook.com/Walnut-Grove-Public-Library-61807862825427</v>
      </c>
    </row>
    <row r="1510" spans="1:3" ht="15">
      <c r="A1510" s="2" t="s">
        <v>3899</v>
      </c>
      <c r="B1510" s="1" t="s">
        <v>3900</v>
      </c>
      <c r="C1510" s="1" t="s">
        <v>3901</v>
      </c>
    </row>
    <row r="1511" spans="1:6" ht="30">
      <c r="A1511" s="2" t="s">
        <v>3004</v>
      </c>
      <c r="B1511" s="1" t="s">
        <v>534</v>
      </c>
      <c r="C1511" s="1" t="s">
        <v>535</v>
      </c>
      <c r="D1511" s="1" t="s">
        <v>5166</v>
      </c>
      <c r="E1511" s="5" t="str">
        <f>HYPERLINK("mailto:abolins@uga.edu","abolins@uga.edu")</f>
        <v>abolins@uga.edu</v>
      </c>
      <c r="F1511" s="6" t="str">
        <f>HYPERLINK("https://bmac.libs.uga.edu/pawtucket2/")</f>
        <v>https://bmac.libs.uga.edu/pawtucket2/</v>
      </c>
    </row>
    <row r="1512" spans="1:6" ht="15">
      <c r="A1512" s="2" t="s">
        <v>1633</v>
      </c>
      <c r="B1512" s="1" t="s">
        <v>1634</v>
      </c>
      <c r="C1512" s="1" t="s">
        <v>1635</v>
      </c>
      <c r="D1512" s="1" t="s">
        <v>4764</v>
      </c>
      <c r="F1512" s="6" t="str">
        <f>HYPERLINK("https://gchrl.org/branches/warren-county-library/")</f>
        <v>https://gchrl.org/branches/warren-county-library/</v>
      </c>
    </row>
    <row r="1513" spans="1:6" ht="15">
      <c r="A1513" s="2" t="s">
        <v>823</v>
      </c>
      <c r="B1513" s="1" t="s">
        <v>824</v>
      </c>
      <c r="C1513" s="1" t="s">
        <v>825</v>
      </c>
      <c r="D1513" s="1" t="s">
        <v>4513</v>
      </c>
      <c r="E1513" s="5" t="str">
        <f>HYPERLINK("mailto:cinman@wgrls.org","cinman@wgrls.org")</f>
        <v>cinman@wgrls.org</v>
      </c>
      <c r="F1513" s="6" t="str">
        <f>HYPERLINK("http://www.wgrls.org/visit/bowdon/")</f>
        <v>http://www.wgrls.org/visit/bowdon/</v>
      </c>
    </row>
    <row r="1514" spans="1:6" ht="15">
      <c r="A1514" s="2" t="s">
        <v>832</v>
      </c>
      <c r="B1514" s="1" t="s">
        <v>833</v>
      </c>
      <c r="C1514" s="1" t="s">
        <v>834</v>
      </c>
      <c r="D1514" s="1" t="s">
        <v>4516</v>
      </c>
      <c r="E1514" s="5" t="str">
        <f>HYPERLINK("mailto:lwalton-cagle@wgrls.org","lwalton-cagle@wgrls.org")</f>
        <v>lwalton-cagle@wgrls.org</v>
      </c>
      <c r="F1514" s="6" t="str">
        <f>HYPERLINK("http://www.wgrls.org/visit/bremen/")</f>
        <v>http://www.wgrls.org/visit/bremen/</v>
      </c>
    </row>
    <row r="1515" spans="1:6" ht="15">
      <c r="A1515" s="2" t="s">
        <v>1719</v>
      </c>
      <c r="B1515" s="1" t="s">
        <v>1720</v>
      </c>
      <c r="C1515" s="1" t="s">
        <v>1721</v>
      </c>
      <c r="D1515" s="1" t="s">
        <v>4787</v>
      </c>
      <c r="F1515" s="6" t="str">
        <f>HYPERLINK("https://wacohistorical.org/historical-sites/warthen-old-jail-ca-1786/")</f>
        <v>https://wacohistorical.org/historical-sites/warthen-old-jail-ca-1786/</v>
      </c>
    </row>
    <row r="1516" spans="1:6" ht="30">
      <c r="A1516" s="2" t="s">
        <v>200</v>
      </c>
      <c r="B1516" s="1" t="s">
        <v>201</v>
      </c>
      <c r="C1516" s="1" t="s">
        <v>202</v>
      </c>
      <c r="D1516" s="1" t="s">
        <v>4342</v>
      </c>
      <c r="F1516" s="6" t="str">
        <f>HYPERLINK("https://wacohistorical.org/historical-sites/washington-county-courthouse-ca-1869/")</f>
        <v>https://wacohistorical.org/historical-sites/washington-county-courthouse-ca-1869/</v>
      </c>
    </row>
    <row r="1517" spans="1:6" ht="15">
      <c r="A1517" s="2" t="s">
        <v>429</v>
      </c>
      <c r="B1517" s="1" t="s">
        <v>430</v>
      </c>
      <c r="C1517" s="1" t="s">
        <v>431</v>
      </c>
      <c r="D1517" s="1" t="s">
        <v>4401</v>
      </c>
      <c r="F1517" s="6" t="str">
        <f>HYPERLINK("https://wacohistorical.org/")</f>
        <v>https://wacohistorical.org/</v>
      </c>
    </row>
    <row r="1518" spans="1:6" ht="15">
      <c r="A1518" s="2" t="s">
        <v>2183</v>
      </c>
      <c r="B1518" s="1" t="s">
        <v>16</v>
      </c>
      <c r="C1518" s="1" t="s">
        <v>2184</v>
      </c>
      <c r="D1518" s="1" t="s">
        <v>4925</v>
      </c>
      <c r="F1518" s="6" t="str">
        <f>HYPERLINK("https://bibblib.org/locations/washington-memorial-library")</f>
        <v>https://bibblib.org/locations/washington-memorial-library</v>
      </c>
    </row>
    <row r="1519" spans="1:6" ht="15">
      <c r="A1519" s="2" t="s">
        <v>1177</v>
      </c>
      <c r="B1519" s="1" t="s">
        <v>1178</v>
      </c>
      <c r="C1519" s="1" t="s">
        <v>1179</v>
      </c>
      <c r="D1519" s="1" t="s">
        <v>4629</v>
      </c>
      <c r="F1519" s="6" t="str">
        <f>HYPERLINK("http://afpls.org/washington-park-branch6")</f>
        <v>http://afpls.org/washington-park-branch6</v>
      </c>
    </row>
    <row r="1520" spans="1:6" ht="15">
      <c r="A1520" s="2" t="s">
        <v>3018</v>
      </c>
      <c r="B1520" s="1" t="s">
        <v>234</v>
      </c>
      <c r="C1520" s="1" t="s">
        <v>3019</v>
      </c>
      <c r="D1520" s="1" t="s">
        <v>5172</v>
      </c>
      <c r="E1520" s="5" t="str">
        <f>HYPERLINK("mailto:historicalww@gmail.com","historicalww@gmail.com")</f>
        <v>historicalww@gmail.com</v>
      </c>
      <c r="F1520" s="6" t="str">
        <f>HYPERLINK("http://www.historyofwilkes.org")</f>
        <v>http://www.historyofwilkes.org</v>
      </c>
    </row>
    <row r="1521" spans="1:6" ht="30">
      <c r="A1521" s="2" t="s">
        <v>233</v>
      </c>
      <c r="B1521" s="1" t="s">
        <v>234</v>
      </c>
      <c r="C1521" s="1" t="s">
        <v>235</v>
      </c>
      <c r="D1521" s="1" t="s">
        <v>4348</v>
      </c>
      <c r="E1521" s="5" t="str">
        <f>HYPERLINK("mailto:historical@washingtonwilkes.org","historical@washingtonwilkes.org")</f>
        <v>historical@washingtonwilkes.org</v>
      </c>
      <c r="F1521" s="6" t="str">
        <f>HYPERLINK("https://www.historicwashingtonga.com/washington-historical-museum.html")</f>
        <v>https://www.historicwashingtonga.com/washington-historical-museum.html</v>
      </c>
    </row>
    <row r="1522" spans="1:7" ht="15">
      <c r="A1522" s="2" t="s">
        <v>4267</v>
      </c>
      <c r="E1522" s="5" t="str">
        <f>HYPERLINK("mailto:info@watersheddance.org","info@watersheddance.org")</f>
        <v>info@watersheddance.org</v>
      </c>
      <c r="F1522" s="6" t="str">
        <f>HYPERLINK("https://watersheddance.org/")</f>
        <v>https://watersheddance.org/</v>
      </c>
      <c r="G1522" s="5" t="str">
        <f>HYPERLINK("https://www.facebook.com/watersheddance")</f>
        <v>https://www.facebook.com/watersheddance</v>
      </c>
    </row>
    <row r="1523" spans="1:6" ht="15">
      <c r="A1523" s="2" t="s">
        <v>1564</v>
      </c>
      <c r="B1523" s="1" t="s">
        <v>1565</v>
      </c>
      <c r="C1523" s="1" t="s">
        <v>1566</v>
      </c>
      <c r="D1523" s="1" t="s">
        <v>4752</v>
      </c>
      <c r="F1523" s="6" t="str">
        <f>HYPERLINK("https://okrls.org/ware/")</f>
        <v>https://okrls.org/ware/</v>
      </c>
    </row>
    <row r="1524" spans="1:7" ht="15">
      <c r="A1524" s="2" t="s">
        <v>4268</v>
      </c>
      <c r="B1524" s="1" t="s">
        <v>4269</v>
      </c>
      <c r="C1524" s="1" t="s">
        <v>4270</v>
      </c>
      <c r="D1524" s="1" t="s">
        <v>5520</v>
      </c>
      <c r="E1524" s="5" t="str">
        <f>HYPERLINK("mailto:wcacartists@gmail.com","wcacartists@gmail.com")</f>
        <v>wcacartists@gmail.com</v>
      </c>
      <c r="F1524" s="6" t="str">
        <f>HYPERLINK("https://www.wcacartists.org/")</f>
        <v>https://www.wcacartists.org/</v>
      </c>
      <c r="G1524" s="5" t="str">
        <f>HYPERLINK("https://www.facebook.com/waynecountyartscouncil")</f>
        <v>https://www.facebook.com/waynecountyartscouncil</v>
      </c>
    </row>
    <row r="1525" spans="1:6" ht="30">
      <c r="A1525" s="2" t="s">
        <v>2241</v>
      </c>
      <c r="B1525" s="1" t="s">
        <v>2242</v>
      </c>
      <c r="C1525" s="1" t="s">
        <v>2243</v>
      </c>
      <c r="D1525" s="1" t="s">
        <v>4944</v>
      </c>
      <c r="E1525" s="5" t="str">
        <f>HYPERLINK("mailto:dturner@trrl.org","dturner@trrl.org")</f>
        <v>dturner@trrl.org</v>
      </c>
      <c r="F1525" s="6" t="str">
        <f>HYPERLINK("https://threeriverslibraries.org/wordpress-dev/library-locations/wayne-county-public-library/")</f>
        <v>https://threeriverslibraries.org/wordpress-dev/library-locations/wayne-county-public-library/</v>
      </c>
    </row>
    <row r="1526" spans="1:6" ht="15">
      <c r="A1526" s="2" t="s">
        <v>2617</v>
      </c>
      <c r="B1526" s="1" t="s">
        <v>2618</v>
      </c>
      <c r="C1526" s="1" t="s">
        <v>2619</v>
      </c>
      <c r="D1526" s="1" t="s">
        <v>5050</v>
      </c>
      <c r="F1526" s="6" t="str">
        <f>HYPERLINK("https://www.webbmilitarymuseum.com/")</f>
        <v>https://www.webbmilitarymuseum.com/</v>
      </c>
    </row>
    <row r="1527" spans="1:6" ht="15">
      <c r="A1527" s="2" t="s">
        <v>1462</v>
      </c>
      <c r="B1527" s="1" t="s">
        <v>1463</v>
      </c>
      <c r="C1527" s="1" t="s">
        <v>1464</v>
      </c>
      <c r="D1527" s="1" t="s">
        <v>4718</v>
      </c>
      <c r="F1527" s="6" t="str">
        <f>HYPERLINK("https://krlibrary.org/?page_id=10")</f>
        <v>https://krlibrary.org/?page_id=10</v>
      </c>
    </row>
    <row r="1528" spans="1:6" ht="30">
      <c r="A1528" s="2" t="s">
        <v>3825</v>
      </c>
      <c r="B1528" s="1" t="s">
        <v>2011</v>
      </c>
      <c r="C1528" s="1" t="s">
        <v>3826</v>
      </c>
      <c r="D1528" s="1" t="s">
        <v>4877</v>
      </c>
      <c r="F1528" s="6" t="str">
        <f>HYPERLINK("https://tellusmuseum.org/galleries-more/permanent-galleries/weinman-mineral-gallery/")</f>
        <v>https://tellusmuseum.org/galleries-more/permanent-galleries/weinman-mineral-gallery/</v>
      </c>
    </row>
    <row r="1529" spans="1:6" ht="15">
      <c r="A1529" s="2" t="s">
        <v>1063</v>
      </c>
      <c r="B1529" s="1" t="s">
        <v>1064</v>
      </c>
      <c r="C1529" s="1" t="s">
        <v>1065</v>
      </c>
      <c r="D1529" s="1" t="s">
        <v>4592</v>
      </c>
      <c r="F1529" s="6" t="str">
        <f>HYPERLINK("https://dekalblibrary.org/branches/wesl")</f>
        <v>https://dekalblibrary.org/branches/wesl</v>
      </c>
    </row>
    <row r="1530" spans="1:6" ht="15">
      <c r="A1530" s="2" t="s">
        <v>886</v>
      </c>
      <c r="B1530" s="1" t="s">
        <v>887</v>
      </c>
      <c r="C1530" s="1" t="s">
        <v>888</v>
      </c>
      <c r="D1530" s="1" t="s">
        <v>4534</v>
      </c>
      <c r="E1530" s="5" t="str">
        <f>HYPERLINK("mailto:reynoldsde@liveoakpl.org","reynoldsde@liveoakpl.org")</f>
        <v>reynoldsde@liveoakpl.org</v>
      </c>
      <c r="F1530" s="6" t="str">
        <f>HYPERLINK("https://liveoakpl.org/locations/westbroad")</f>
        <v>https://liveoakpl.org/locations/westbroad</v>
      </c>
    </row>
    <row r="1531" spans="1:6" ht="15">
      <c r="A1531" s="2" t="s">
        <v>979</v>
      </c>
      <c r="B1531" s="1" t="s">
        <v>980</v>
      </c>
      <c r="C1531" s="1" t="s">
        <v>981</v>
      </c>
      <c r="D1531" s="1" t="s">
        <v>4565</v>
      </c>
      <c r="F1531" s="6" t="str">
        <f>HYPERLINK("http://www.cobbcat.org/venue/west-cobb-regional-library/")</f>
        <v>http://www.cobbcat.org/venue/west-cobb-regional-library/</v>
      </c>
    </row>
    <row r="1532" spans="1:6" ht="15">
      <c r="A1532" s="2" t="s">
        <v>2301</v>
      </c>
      <c r="B1532" s="1" t="s">
        <v>2302</v>
      </c>
      <c r="C1532" s="1" t="s">
        <v>2303</v>
      </c>
      <c r="D1532" s="1" t="s">
        <v>4957</v>
      </c>
      <c r="F1532" s="6" t="str">
        <f>HYPERLINK("http://afpls.org/west-end-branch6")</f>
        <v>http://afpls.org/west-end-branch6</v>
      </c>
    </row>
    <row r="1533" spans="1:7" ht="15">
      <c r="A1533" s="2" t="s">
        <v>3020</v>
      </c>
      <c r="B1533" s="1" t="s">
        <v>3021</v>
      </c>
      <c r="C1533" s="1" t="s">
        <v>3022</v>
      </c>
      <c r="D1533" s="1" t="s">
        <v>5173</v>
      </c>
      <c r="F1533" s="6" t="str">
        <f>HYPERLINK("http://www.tallapoosaga.gov/museum/")</f>
        <v>http://www.tallapoosaga.gov/museum/</v>
      </c>
      <c r="G1533" s="5" t="str">
        <f>HYPERLINK("https://www.facebook.com/westgamuseum")</f>
        <v>https://www.facebook.com/westgamuseum</v>
      </c>
    </row>
    <row r="1534" spans="1:6" ht="30">
      <c r="A1534" s="2" t="s">
        <v>3397</v>
      </c>
      <c r="B1534" s="1" t="s">
        <v>3398</v>
      </c>
      <c r="C1534" s="1" t="s">
        <v>3399</v>
      </c>
      <c r="D1534" s="1" t="s">
        <v>5275</v>
      </c>
      <c r="F1534" s="6" t="str">
        <f>HYPERLINK("https://www.westgatech.edu/program-explorer/academic-resources/library/")</f>
        <v>https://www.westgatech.edu/program-explorer/academic-resources/library/</v>
      </c>
    </row>
    <row r="1535" spans="1:6" ht="30">
      <c r="A1535" s="2" t="s">
        <v>3400</v>
      </c>
      <c r="B1535" s="1" t="s">
        <v>3401</v>
      </c>
      <c r="C1535" s="1" t="s">
        <v>3402</v>
      </c>
      <c r="D1535" s="1" t="s">
        <v>5276</v>
      </c>
      <c r="F1535" s="6" t="str">
        <f>HYPERLINK("https://www.westgatech.edu/program-explorer/academic-resources/library/")</f>
        <v>https://www.westgatech.edu/program-explorer/academic-resources/library/</v>
      </c>
    </row>
    <row r="1536" spans="1:6" ht="30">
      <c r="A1536" s="2" t="s">
        <v>3406</v>
      </c>
      <c r="B1536" s="1" t="s">
        <v>3407</v>
      </c>
      <c r="C1536" s="1" t="s">
        <v>3408</v>
      </c>
      <c r="D1536" s="1" t="s">
        <v>5278</v>
      </c>
      <c r="F1536" s="6" t="str">
        <f>HYPERLINK("https://www.westgatech.edu/program-explorer/academic-resources/library/")</f>
        <v>https://www.westgatech.edu/program-explorer/academic-resources/library/</v>
      </c>
    </row>
    <row r="1537" spans="1:6" ht="30">
      <c r="A1537" s="2" t="s">
        <v>3438</v>
      </c>
      <c r="B1537" s="1" t="s">
        <v>3439</v>
      </c>
      <c r="C1537" s="1" t="s">
        <v>3440</v>
      </c>
      <c r="D1537" s="1" t="s">
        <v>5288</v>
      </c>
      <c r="F1537" s="6" t="str">
        <f>HYPERLINK("https://www.westgatech.edu/program-explorer/academic-resources/library/")</f>
        <v>https://www.westgatech.edu/program-explorer/academic-resources/library/</v>
      </c>
    </row>
    <row r="1538" spans="1:6" ht="30">
      <c r="A1538" s="2" t="s">
        <v>3394</v>
      </c>
      <c r="B1538" s="1" t="s">
        <v>3395</v>
      </c>
      <c r="C1538" s="1" t="s">
        <v>3396</v>
      </c>
      <c r="D1538" s="1" t="s">
        <v>5274</v>
      </c>
      <c r="F1538" s="6" t="str">
        <f>HYPERLINK("https://www.westgatech.edu/program-explorer/academic-resources/library/")</f>
        <v>https://www.westgatech.edu/program-explorer/academic-resources/library/</v>
      </c>
    </row>
    <row r="1539" spans="1:6" ht="15">
      <c r="A1539" s="2" t="s">
        <v>3827</v>
      </c>
      <c r="B1539" s="1" t="s">
        <v>2461</v>
      </c>
      <c r="C1539" s="1" t="s">
        <v>3828</v>
      </c>
      <c r="D1539" s="1" t="s">
        <v>5006</v>
      </c>
      <c r="E1539" s="5" t="str">
        <f>HYPERLINK("mailto:wgtht@westga.edu","wgtht@westga.edu")</f>
        <v>wgtht@westga.edu</v>
      </c>
      <c r="F1539" s="6" t="str">
        <f>HYPERLINK("http://westgatextiletrail.com/")</f>
        <v>http://westgatextiletrail.com/</v>
      </c>
    </row>
    <row r="1540" spans="1:6" ht="15">
      <c r="A1540" s="2" t="s">
        <v>1108</v>
      </c>
      <c r="B1540" s="1" t="s">
        <v>1109</v>
      </c>
      <c r="C1540" s="1" t="s">
        <v>1110</v>
      </c>
      <c r="D1540" s="1" t="s">
        <v>4607</v>
      </c>
      <c r="F1540" s="6" t="str">
        <f>HYPERLINK("http://www.docolib.org/index.php/about-us/location-hours/")</f>
        <v>http://www.docolib.org/index.php/about-us/location-hours/</v>
      </c>
    </row>
    <row r="1541" spans="1:6" ht="15">
      <c r="A1541" s="2" t="s">
        <v>1711</v>
      </c>
      <c r="B1541" s="1" t="s">
        <v>1709</v>
      </c>
      <c r="C1541" s="1" t="s">
        <v>1710</v>
      </c>
      <c r="D1541" s="1" t="s">
        <v>4347</v>
      </c>
      <c r="E1541" s="5" t="str">
        <f>HYPERLINK("mailto:tdeariso@heritagecenter.org","tdeariso@heritagecenter.org")</f>
        <v>tdeariso@heritagecenter.org</v>
      </c>
      <c r="F1541" s="6" t="str">
        <f>HYPERLINK("http://www.heritagecenter.org/planetarium.html")</f>
        <v>http://www.heritagecenter.org/planetarium.html</v>
      </c>
    </row>
    <row r="1542" spans="1:6" ht="15">
      <c r="A1542" s="2" t="s">
        <v>1102</v>
      </c>
      <c r="B1542" s="1" t="s">
        <v>1103</v>
      </c>
      <c r="C1542" s="1" t="s">
        <v>1104</v>
      </c>
      <c r="D1542" s="1" t="s">
        <v>4605</v>
      </c>
      <c r="F1542" s="6" t="str">
        <f>HYPERLINK("http://orls.org/wordpress/branches/wheeler-county-library/")</f>
        <v>http://orls.org/wordpress/branches/wheeler-county-library/</v>
      </c>
    </row>
    <row r="1543" spans="1:7" ht="15">
      <c r="A1543" s="2" t="s">
        <v>3023</v>
      </c>
      <c r="B1543" s="1" t="s">
        <v>3024</v>
      </c>
      <c r="C1543" s="1" t="s">
        <v>3025</v>
      </c>
      <c r="D1543" s="1" t="s">
        <v>5174</v>
      </c>
      <c r="E1543" s="5" t="str">
        <f>HYPERLINK("mailto:wchsga@outlook.com","wchsga@outlook.com")</f>
        <v>wchsga@outlook.com</v>
      </c>
      <c r="F1543" s="6" t="str">
        <f>HYPERLINK("http://whitecountyhistoricalsociety.com/")</f>
        <v>http://whitecountyhistoricalsociety.com/</v>
      </c>
      <c r="G1543" s="5" t="str">
        <f>HYPERLINK("https://www.facebook.com/whitecountyhistoricalsociety")</f>
        <v>https://www.facebook.com/whitecountyhistoricalsociety</v>
      </c>
    </row>
    <row r="1544" spans="1:6" ht="15">
      <c r="A1544" s="2" t="s">
        <v>3508</v>
      </c>
      <c r="B1544" s="1" t="s">
        <v>3509</v>
      </c>
      <c r="C1544" s="1" t="s">
        <v>3025</v>
      </c>
      <c r="D1544" s="1" t="s">
        <v>5174</v>
      </c>
      <c r="E1544" s="5" t="str">
        <f>HYPERLINK("mailto:wchsga@outlook.com","wchsga@outlook.com")</f>
        <v>wchsga@outlook.com</v>
      </c>
      <c r="F1544" s="6" t="str">
        <f>HYPERLINK("http://whitecountyhistoricalsociety.com/museum")</f>
        <v>http://whitecountyhistoricalsociety.com/museum</v>
      </c>
    </row>
    <row r="1545" spans="1:6" ht="15">
      <c r="A1545" s="2" t="s">
        <v>859</v>
      </c>
      <c r="B1545" s="1" t="s">
        <v>860</v>
      </c>
      <c r="C1545" s="1" t="s">
        <v>861</v>
      </c>
      <c r="D1545" s="1" t="s">
        <v>4525</v>
      </c>
      <c r="E1545" s="5" t="str">
        <f>HYPERLINK("mailto:nweathington@wgrls.org","nweathington@wgrls.org")</f>
        <v>nweathington@wgrls.org</v>
      </c>
      <c r="F1545" s="6" t="str">
        <f>HYPERLINK("http://www.wgrls.org/visit/whitesburg/")</f>
        <v>http://www.wgrls.org/visit/whitesburg/</v>
      </c>
    </row>
    <row r="1546" spans="1:6" ht="15">
      <c r="A1546" s="2" t="s">
        <v>1928</v>
      </c>
      <c r="B1546" s="1" t="s">
        <v>1929</v>
      </c>
      <c r="C1546" s="1" t="s">
        <v>1930</v>
      </c>
      <c r="D1546" s="1" t="s">
        <v>4853</v>
      </c>
      <c r="E1546" s="5" t="str">
        <f>HYPERLINK("mailto:director@whitfieldmurray.org","director@whitfieldmurray.org")</f>
        <v>director@whitfieldmurray.org</v>
      </c>
      <c r="F1546" s="6" t="str">
        <f>HYPERLINK("http://www.whitfield-murrayhistoricalsociety.org")</f>
        <v>http://www.whitfield-murrayhistoricalsociety.org</v>
      </c>
    </row>
    <row r="1547" spans="1:3" ht="15">
      <c r="A1547" s="2" t="s">
        <v>3902</v>
      </c>
      <c r="B1547" s="1" t="s">
        <v>3903</v>
      </c>
      <c r="C1547" s="1" t="s">
        <v>3904</v>
      </c>
    </row>
    <row r="1548" spans="1:6" ht="15">
      <c r="A1548" s="2" t="s">
        <v>4271</v>
      </c>
      <c r="B1548" s="1" t="s">
        <v>4272</v>
      </c>
      <c r="C1548" s="1" t="s">
        <v>4273</v>
      </c>
      <c r="D1548" s="1" t="s">
        <v>5521</v>
      </c>
      <c r="F1548" s="6" t="str">
        <f>HYPERLINK("https://www.facebook.com/WilcoxCountyArtsCouncil.org/about/")</f>
        <v>https://www.facebook.com/WilcoxCountyArtsCouncil.org/about/</v>
      </c>
    </row>
    <row r="1549" spans="1:6" ht="15">
      <c r="A1549" s="2" t="s">
        <v>1090</v>
      </c>
      <c r="B1549" s="1" t="s">
        <v>1091</v>
      </c>
      <c r="C1549" s="1" t="s">
        <v>1092</v>
      </c>
      <c r="D1549" s="1" t="s">
        <v>4601</v>
      </c>
      <c r="F1549" s="6" t="str">
        <f>HYPERLINK("http://orls.org/wordpress/branches/wilcox-county-library/")</f>
        <v>http://orls.org/wordpress/branches/wilcox-county-library/</v>
      </c>
    </row>
    <row r="1550" ht="15">
      <c r="A1550" s="2" t="s">
        <v>3501</v>
      </c>
    </row>
    <row r="1551" spans="1:6" ht="15">
      <c r="A1551" s="2" t="s">
        <v>997</v>
      </c>
      <c r="B1551" s="1" t="s">
        <v>998</v>
      </c>
      <c r="C1551" s="1" t="s">
        <v>999</v>
      </c>
      <c r="D1551" s="1" t="s">
        <v>4571</v>
      </c>
      <c r="E1551" s="5" t="str">
        <f>HYPERLINK("mailto:willalib@srlsys.org","willalib@srlsys.org")</f>
        <v>willalib@srlsys.org</v>
      </c>
      <c r="F1551" s="6" t="str">
        <f>HYPERLINK("http://srlsys.org/willacoochee-public-library/")</f>
        <v>http://srlsys.org/willacoochee-public-library/</v>
      </c>
    </row>
    <row r="1552" spans="1:6" ht="30">
      <c r="A1552" s="2" t="s">
        <v>2348</v>
      </c>
      <c r="B1552" s="1" t="s">
        <v>2349</v>
      </c>
      <c r="C1552" s="1" t="s">
        <v>2350</v>
      </c>
      <c r="D1552" s="1" t="s">
        <v>4968</v>
      </c>
      <c r="E1552" s="5" t="str">
        <f>HYPERLINK("mailto:info@thebreman.org","info@thebreman.org")</f>
        <v>info@thebreman.org</v>
      </c>
      <c r="F1552" s="6" t="str">
        <f>HYPERLINK("http://www.thebreman.org")</f>
        <v>http://www.thebreman.org</v>
      </c>
    </row>
    <row r="1553" spans="1:3" ht="15">
      <c r="A1553" s="2" t="s">
        <v>33</v>
      </c>
      <c r="B1553" s="1" t="s">
        <v>34</v>
      </c>
      <c r="C1553" s="1" t="s">
        <v>35</v>
      </c>
    </row>
    <row r="1554" spans="1:6" ht="15">
      <c r="A1554" s="2" t="s">
        <v>2363</v>
      </c>
      <c r="B1554" s="1" t="s">
        <v>2364</v>
      </c>
      <c r="C1554" s="1" t="s">
        <v>2365</v>
      </c>
      <c r="D1554" s="1" t="s">
        <v>4973</v>
      </c>
      <c r="E1554" s="5" t="str">
        <f>HYPERLINK("mailto:Ford.Museum@bethesdaacademy.org","Ford.Museum@bethesdaacademy.org")</f>
        <v>Ford.Museum@bethesdaacademy.org</v>
      </c>
      <c r="F1554" s="6" t="str">
        <f>HYPERLINK("http://www.bethesdamuseum.org/")</f>
        <v>http://www.bethesdamuseum.org/</v>
      </c>
    </row>
    <row r="1555" spans="1:6" ht="15">
      <c r="A1555" s="2" t="s">
        <v>1798</v>
      </c>
      <c r="B1555" s="1" t="s">
        <v>1799</v>
      </c>
      <c r="C1555" s="1" t="s">
        <v>1800</v>
      </c>
      <c r="D1555" s="1" t="s">
        <v>4812</v>
      </c>
      <c r="E1555" s="5" t="str">
        <f>HYPERLINK("mailto:gretchen.ionta@gcsu.edu","gretchen.ionta@gcsu.edu")</f>
        <v>gretchen.ionta@gcsu.edu</v>
      </c>
      <c r="F1555" s="6" t="str">
        <f>HYPERLINK("https://www.gcsu.edu/nhm")</f>
        <v>https://www.gcsu.edu/nhm</v>
      </c>
    </row>
    <row r="1556" spans="1:6" ht="15">
      <c r="A1556" s="2" t="s">
        <v>1762</v>
      </c>
      <c r="B1556" s="1" t="s">
        <v>1674</v>
      </c>
      <c r="C1556" s="1" t="s">
        <v>1763</v>
      </c>
      <c r="D1556" s="1" t="s">
        <v>4799</v>
      </c>
      <c r="E1556" s="5" t="str">
        <f>HYPERLINK("mailto:executive.director@cobblandmarks.com","executive.director@cobblandmarks.com")</f>
        <v>executive.director@cobblandmarks.com</v>
      </c>
      <c r="F1556" s="6" t="str">
        <f>HYPERLINK("https://www.roothousemuseum.com/")</f>
        <v>https://www.roothousemuseum.com/</v>
      </c>
    </row>
    <row r="1557" spans="1:5" ht="15">
      <c r="A1557" s="2" t="s">
        <v>3510</v>
      </c>
      <c r="B1557" s="1" t="s">
        <v>4301</v>
      </c>
      <c r="C1557" s="1" t="s">
        <v>3511</v>
      </c>
      <c r="D1557" s="1" t="s">
        <v>5305</v>
      </c>
      <c r="E1557" s="5" t="str">
        <f>HYPERLINK("mailto:lynn.kelly@sgsc.edu","lynn.kelly@sgsc.edu")</f>
        <v>lynn.kelly@sgsc.edu</v>
      </c>
    </row>
    <row r="1558" spans="1:6" ht="15">
      <c r="A1558" s="2" t="s">
        <v>2220</v>
      </c>
      <c r="B1558" s="1" t="s">
        <v>2221</v>
      </c>
      <c r="C1558" s="1" t="s">
        <v>2222</v>
      </c>
      <c r="D1558" s="1" t="s">
        <v>4937</v>
      </c>
      <c r="F1558" s="6" t="str">
        <f>HYPERLINK("https://sgrl.org/locations/willis-l-miller-library/")</f>
        <v>https://sgrl.org/locations/willis-l-miller-library/</v>
      </c>
    </row>
    <row r="1559" spans="1:7" ht="15">
      <c r="A1559" s="2" t="s">
        <v>3065</v>
      </c>
      <c r="B1559" s="1" t="s">
        <v>3066</v>
      </c>
      <c r="C1559" s="1" t="s">
        <v>3067</v>
      </c>
      <c r="D1559" s="1" t="s">
        <v>5183</v>
      </c>
      <c r="E1559" s="5" t="str">
        <f>HYPERLINK("mailto:museum@willowhillheritage.org","museum@willowhillheritage.org")</f>
        <v>museum@willowhillheritage.org</v>
      </c>
      <c r="F1559" s="6" t="str">
        <f>HYPERLINK("https://www.willowhillheritage.org/")</f>
        <v>https://www.willowhillheritage.org/</v>
      </c>
      <c r="G1559" s="5" t="str">
        <f>HYPERLINK("https://www.facebook.com/WHHRC")</f>
        <v>https://www.facebook.com/WHHRC</v>
      </c>
    </row>
    <row r="1560" spans="1:3" ht="15">
      <c r="A1560" s="2" t="s">
        <v>62</v>
      </c>
      <c r="B1560" s="1" t="s">
        <v>63</v>
      </c>
      <c r="C1560" s="1" t="s">
        <v>64</v>
      </c>
    </row>
    <row r="1561" spans="1:6" ht="15">
      <c r="A1561" s="2" t="s">
        <v>760</v>
      </c>
      <c r="B1561" s="1" t="s">
        <v>761</v>
      </c>
      <c r="C1561" s="1" t="s">
        <v>762</v>
      </c>
      <c r="D1561" s="1" t="s">
        <v>4492</v>
      </c>
      <c r="E1561" s="5" t="str">
        <f>HYPERLINK("mailto:jsimpson@prlib.org","jsimpson@prlib.org")</f>
        <v>jsimpson@prlib.org</v>
      </c>
      <c r="F1561" s="6" t="str">
        <f>HYPERLINK("http://winder.prlib.org/")</f>
        <v>http://winder.prlib.org/</v>
      </c>
    </row>
    <row r="1562" spans="1:6" ht="15">
      <c r="A1562" s="2" t="s">
        <v>2075</v>
      </c>
      <c r="B1562" s="1" t="s">
        <v>2076</v>
      </c>
      <c r="C1562" s="1" t="s">
        <v>2077</v>
      </c>
      <c r="D1562" s="1" t="s">
        <v>4899</v>
      </c>
      <c r="F1562" s="6" t="str">
        <f>HYPERLINK("http://www.cobbcat.org/venue/windy-hill-library")</f>
        <v>http://www.cobbcat.org/venue/windy-hill-library</v>
      </c>
    </row>
    <row r="1563" spans="1:7" ht="15">
      <c r="A1563" s="2" t="s">
        <v>916</v>
      </c>
      <c r="B1563" s="1" t="s">
        <v>917</v>
      </c>
      <c r="C1563" s="1" t="s">
        <v>918</v>
      </c>
      <c r="D1563" s="1" t="s">
        <v>4544</v>
      </c>
      <c r="F1563" s="6" t="str">
        <f>HYPERLINK("http://www.athenslibrary.org/winterville")</f>
        <v>http://www.athenslibrary.org/winterville</v>
      </c>
      <c r="G1563" s="5" t="str">
        <f>HYPERLINK("https://www.facebook.com/WintervilleLibrary")</f>
        <v>https://www.facebook.com/WintervilleLibrary</v>
      </c>
    </row>
    <row r="1564" spans="1:6" ht="30">
      <c r="A1564" s="2" t="s">
        <v>3409</v>
      </c>
      <c r="B1564" s="1" t="s">
        <v>3410</v>
      </c>
      <c r="C1564" s="1" t="s">
        <v>3411</v>
      </c>
      <c r="D1564" s="1" t="s">
        <v>5279</v>
      </c>
      <c r="E1564" s="5" t="str">
        <f>HYPERLINK("mailto:library@wiregrass.edu","library@wiregrass.edu")</f>
        <v>library@wiregrass.edu</v>
      </c>
      <c r="F1564" s="6" t="str">
        <f>HYPERLINK("https://www.wiregrass.edu/library")</f>
        <v>https://www.wiregrass.edu/library</v>
      </c>
    </row>
    <row r="1565" spans="1:6" ht="30">
      <c r="A1565" s="2" t="s">
        <v>3412</v>
      </c>
      <c r="B1565" s="1" t="s">
        <v>3413</v>
      </c>
      <c r="C1565" s="1" t="s">
        <v>3414</v>
      </c>
      <c r="D1565" s="1" t="s">
        <v>5280</v>
      </c>
      <c r="E1565" s="5" t="str">
        <f>HYPERLINK("mailto:library@wiregrass.edu","library@wiregrass.edu")</f>
        <v>library@wiregrass.edu</v>
      </c>
      <c r="F1565" s="6" t="str">
        <f>HYPERLINK("https://www.wiregrass.edu/library")</f>
        <v>https://www.wiregrass.edu/library</v>
      </c>
    </row>
    <row r="1566" spans="1:6" ht="30">
      <c r="A1566" s="2" t="s">
        <v>3415</v>
      </c>
      <c r="B1566" s="1" t="s">
        <v>3416</v>
      </c>
      <c r="C1566" s="1" t="s">
        <v>3417</v>
      </c>
      <c r="D1566" s="1" t="s">
        <v>5281</v>
      </c>
      <c r="E1566" s="5" t="str">
        <f>HYPERLINK("mailto:library@wiregrass.edu","library@wiregrass.edu")</f>
        <v>library@wiregrass.edu</v>
      </c>
      <c r="F1566" s="6" t="str">
        <f>HYPERLINK("https://www.wiregrass.edu/library")</f>
        <v>https://www.wiregrass.edu/library</v>
      </c>
    </row>
    <row r="1567" spans="1:6" ht="30">
      <c r="A1567" s="2" t="s">
        <v>3418</v>
      </c>
      <c r="B1567" s="1" t="s">
        <v>3419</v>
      </c>
      <c r="C1567" s="1" t="s">
        <v>3420</v>
      </c>
      <c r="D1567" s="1" t="s">
        <v>5282</v>
      </c>
      <c r="E1567" s="5" t="str">
        <f>HYPERLINK("mailto:library@wiregrass.edu","library@wiregrass.edu")</f>
        <v>library@wiregrass.edu</v>
      </c>
      <c r="F1567" s="6" t="str">
        <f>HYPERLINK("https://www.wiregrass.edu/library")</f>
        <v>https://www.wiregrass.edu/library</v>
      </c>
    </row>
    <row r="1568" spans="1:6" ht="15">
      <c r="A1568" s="2" t="s">
        <v>1204</v>
      </c>
      <c r="B1568" s="1" t="s">
        <v>1205</v>
      </c>
      <c r="C1568" s="1" t="s">
        <v>1206</v>
      </c>
      <c r="D1568" s="1" t="s">
        <v>4638</v>
      </c>
      <c r="F1568" s="6" t="str">
        <f>HYPERLINK("http://afpls.org/wolf-creek-branch")</f>
        <v>http://afpls.org/wolf-creek-branch</v>
      </c>
    </row>
    <row r="1569" spans="1:7" ht="30">
      <c r="A1569" s="2" t="s">
        <v>3538</v>
      </c>
      <c r="B1569" s="1" t="s">
        <v>4302</v>
      </c>
      <c r="C1569" s="1" t="s">
        <v>3539</v>
      </c>
      <c r="D1569" s="1" t="s">
        <v>5312</v>
      </c>
      <c r="F1569" s="6" t="str">
        <f>HYPERLINK("https://threeriverslibraries.org/wordpress-dev/woodbine-public-library-inc/")</f>
        <v>https://threeriverslibraries.org/wordpress-dev/woodbine-public-library-inc/</v>
      </c>
      <c r="G1569" s="5" t="str">
        <f>HYPERLINK("https://www.facebook.com/WoodbinePublicLibrary")</f>
        <v>https://www.facebook.com/WoodbinePublicLibrary</v>
      </c>
    </row>
    <row r="1570" spans="1:6" ht="15">
      <c r="A1570" s="2" t="s">
        <v>1951</v>
      </c>
      <c r="B1570" s="1" t="s">
        <v>1952</v>
      </c>
      <c r="C1570" s="1" t="s">
        <v>1953</v>
      </c>
      <c r="D1570" s="1" t="s">
        <v>4860</v>
      </c>
      <c r="E1570" s="5" t="str">
        <f>HYPERLINK("mailto:libbrb@emory.edu","libbrb@emory.edu")</f>
        <v>libbrb@emory.edu</v>
      </c>
      <c r="F1570" s="6" t="str">
        <f>HYPERLINK("https://health.library.emory.edu/")</f>
        <v>https://health.library.emory.edu/</v>
      </c>
    </row>
    <row r="1571" spans="1:6" ht="15">
      <c r="A1571" s="2" t="s">
        <v>2217</v>
      </c>
      <c r="B1571" s="1" t="s">
        <v>2218</v>
      </c>
      <c r="C1571" s="1" t="s">
        <v>2219</v>
      </c>
      <c r="D1571" s="1" t="s">
        <v>4936</v>
      </c>
      <c r="E1571" s="5" t="str">
        <f>HYPERLINK("mailto:greenj@seqlib.org","greenj@seqlib.org")</f>
        <v>greenj@seqlib.org</v>
      </c>
      <c r="F1571" s="6" t="str">
        <f>HYPERLINK("https://www.sequoyahregionallibrary.org/woodstock/")</f>
        <v>https://www.sequoyahregionallibrary.org/woodstock/</v>
      </c>
    </row>
    <row r="1572" spans="1:6" ht="30">
      <c r="A1572" s="2" t="s">
        <v>3643</v>
      </c>
      <c r="B1572" s="1" t="s">
        <v>3644</v>
      </c>
      <c r="C1572" s="1" t="s">
        <v>3645</v>
      </c>
      <c r="D1572" s="1" t="s">
        <v>5340</v>
      </c>
      <c r="F1572" s="6" t="str">
        <f>HYPERLINK("https://visitwoodstockga.com/locations/woodstock-visitors-center-deans-store/")</f>
        <v>https://visitwoodstockga.com/locations/woodstock-visitors-center-deans-store/</v>
      </c>
    </row>
    <row r="1573" spans="1:6" ht="15">
      <c r="A1573" s="2" t="s">
        <v>3032</v>
      </c>
      <c r="B1573" s="1" t="s">
        <v>3033</v>
      </c>
      <c r="C1573" s="1" t="s">
        <v>3034</v>
      </c>
      <c r="E1573" s="5" t="str">
        <f>HYPERLINK("mailto:rusty.zaring@woodward.edu","rusty.zaring@woodward.edu")</f>
        <v>rusty.zaring@woodward.edu</v>
      </c>
      <c r="F1573" s="6" t="str">
        <f>HYPERLINK("http://www.woodward.edu/home/")</f>
        <v>http://www.woodward.edu/home/</v>
      </c>
    </row>
    <row r="1574" spans="1:7" ht="15">
      <c r="A1574" s="2" t="s">
        <v>4274</v>
      </c>
      <c r="B1574" s="1" t="s">
        <v>4275</v>
      </c>
      <c r="C1574" s="1" t="s">
        <v>4276</v>
      </c>
      <c r="E1574" s="5" t="str">
        <f>HYPERLINK("mailto:managing@workingtitleplaywrights.com","managing@workingtitleplaywrights.com")</f>
        <v>managing@workingtitleplaywrights.com</v>
      </c>
      <c r="F1574" s="6" t="str">
        <f>HYPERLINK("https://workingtitleplaywrights.com/")</f>
        <v>https://workingtitleplaywrights.com/</v>
      </c>
      <c r="G1574" s="5" t="str">
        <f>HYPERLINK("https://www.facebook.com/workingtitleplaywrights")</f>
        <v>https://www.facebook.com/workingtitleplaywrights</v>
      </c>
    </row>
    <row r="1575" spans="1:8" ht="15">
      <c r="A1575" s="2" t="s">
        <v>258</v>
      </c>
      <c r="B1575" s="1" t="s">
        <v>259</v>
      </c>
      <c r="C1575" s="1" t="s">
        <v>260</v>
      </c>
      <c r="F1575" s="6" t="str">
        <f>HYPERLINK("http://www.worldofcoca-cola.com/")</f>
        <v>http://www.worldofcoca-cola.com/</v>
      </c>
      <c r="G1575" s="5" t="str">
        <f>HYPERLINK("https://www.facebook.com/WorldofCocaCola")</f>
        <v>https://www.facebook.com/WorldofCocaCola</v>
      </c>
      <c r="H1575" s="5" t="str">
        <f>HYPERLINK("https://twitter.com/WorldofCocaCola")</f>
        <v>https://twitter.com/WorldofCocaCola</v>
      </c>
    </row>
    <row r="1576" spans="1:7" ht="15">
      <c r="A1576" s="2" t="s">
        <v>3035</v>
      </c>
      <c r="B1576" s="1" t="s">
        <v>3036</v>
      </c>
      <c r="C1576" s="1" t="s">
        <v>3037</v>
      </c>
      <c r="D1576" s="1" t="s">
        <v>5177</v>
      </c>
      <c r="F1576" s="6" t="str">
        <f>HYPERLINK("https://wwiiflighttraining.org/")</f>
        <v>https://wwiiflighttraining.org/</v>
      </c>
      <c r="G1576" s="5" t="str">
        <f>HYPERLINK("https://www.facebook.com/WWII-Flight-Training-Museum-196799750331068")</f>
        <v>https://www.facebook.com/WWII-Flight-Training-Museum-196799750331068</v>
      </c>
    </row>
    <row r="1577" spans="1:6" ht="15">
      <c r="A1577" s="2" t="s">
        <v>2523</v>
      </c>
      <c r="B1577" s="1" t="s">
        <v>2524</v>
      </c>
      <c r="C1577" s="1" t="s">
        <v>2525</v>
      </c>
      <c r="D1577" s="1" t="s">
        <v>5023</v>
      </c>
      <c r="F1577" s="6" t="str">
        <f>HYPERLINK("https://www.coastalgeorgiahistory.org/visit/world-war-ii-museum/")</f>
        <v>https://www.coastalgeorgiahistory.org/visit/world-war-ii-museum/</v>
      </c>
    </row>
    <row r="1578" spans="1:6" ht="15">
      <c r="A1578" s="2" t="s">
        <v>2351</v>
      </c>
      <c r="B1578" s="1" t="s">
        <v>2352</v>
      </c>
      <c r="C1578" s="1" t="s">
        <v>2353</v>
      </c>
      <c r="D1578" s="1" t="s">
        <v>4969</v>
      </c>
      <c r="E1578" s="5" t="str">
        <f>HYPERLINK("mailto:wormsloe.shs@dnr.ga.gov","wormsloe.shs@dnr.ga.gov")</f>
        <v>wormsloe.shs@dnr.ga.gov</v>
      </c>
      <c r="F1578" s="6" t="str">
        <f>HYPERLINK("https://gastateparks.org/Wormsloe")</f>
        <v>https://gastateparks.org/Wormsloe</v>
      </c>
    </row>
    <row r="1579" spans="1:7" ht="15">
      <c r="A1579" s="2" t="s">
        <v>3039</v>
      </c>
      <c r="B1579" s="1" t="s">
        <v>3040</v>
      </c>
      <c r="C1579" s="1" t="s">
        <v>3041</v>
      </c>
      <c r="E1579" s="5" t="str">
        <f>HYPERLINK("mailto:mkgg@aol.com","mkgg@aol.com")</f>
        <v>mkgg@aol.com</v>
      </c>
      <c r="G1579" s="5" t="str">
        <f>HYPERLINK("https://www.facebook.com/WorthCountyHistoricalSociety")</f>
        <v>https://www.facebook.com/WorthCountyHistoricalSociety</v>
      </c>
    </row>
    <row r="1580" spans="1:4" ht="15">
      <c r="A1580" s="2" t="s">
        <v>3042</v>
      </c>
      <c r="D1580" s="1" t="s">
        <v>5178</v>
      </c>
    </row>
    <row r="1581" spans="1:7" ht="15">
      <c r="A1581" s="2" t="s">
        <v>3043</v>
      </c>
      <c r="B1581" s="1" t="s">
        <v>3044</v>
      </c>
      <c r="C1581" s="1" t="s">
        <v>3045</v>
      </c>
      <c r="D1581" s="1" t="s">
        <v>5179</v>
      </c>
      <c r="F1581" s="6" t="str">
        <f>HYPERLINK("http://www.lilburnevents.com/home-page.html")</f>
        <v>http://www.lilburnevents.com/home-page.html</v>
      </c>
      <c r="G1581" s="5" t="str">
        <f>HYPERLINK("https://www.facebook.com/wynnerussellhouse")</f>
        <v>https://www.facebook.com/wynnerussellhouse</v>
      </c>
    </row>
    <row r="1582" spans="1:6" ht="30">
      <c r="A1582" s="2" t="s">
        <v>1330</v>
      </c>
      <c r="B1582" s="1" t="s">
        <v>1331</v>
      </c>
      <c r="C1582" s="1" t="s">
        <v>1332</v>
      </c>
      <c r="D1582" s="1" t="s">
        <v>4675</v>
      </c>
      <c r="E1582" s="5" t="str">
        <f>HYPERLINK("mailto:libraryy@pinemtnlibrary.org","libraryy@pinemtnlibrary.org")</f>
        <v>libraryy@pinemtnlibrary.org</v>
      </c>
      <c r="F1582" s="6" t="str">
        <f>HYPERLINK("https://www.pinemtnlibrary.org/wordpress/index.php/hours-and-locations/upson-county/yatesville-public-library/")</f>
        <v>https://www.pinemtnlibrary.org/wordpress/index.php/hours-and-locations/upson-county/yatesville-public-library/</v>
      </c>
    </row>
    <row r="1583" spans="1:7" ht="15">
      <c r="A1583" s="2" t="s">
        <v>4277</v>
      </c>
      <c r="B1583" s="1" t="s">
        <v>4278</v>
      </c>
      <c r="C1583" s="1" t="s">
        <v>4279</v>
      </c>
      <c r="D1583" s="1" t="s">
        <v>5522</v>
      </c>
      <c r="E1583" s="5" t="str">
        <f>HYPERLINK("mailto:info@youthensemble.org","info@youthensemble.org")</f>
        <v>info@youthensemble.org</v>
      </c>
      <c r="F1583" s="6" t="str">
        <f>HYPERLINK("https://youthensemble.org/")</f>
        <v>https://youthensemble.org/</v>
      </c>
      <c r="G1583" s="5" t="str">
        <f>HYPERLINK("https://www.facebook.com/YouthEnsembleofAtlanta")</f>
        <v>https://www.facebook.com/YouthEnsembleofAtlanta</v>
      </c>
    </row>
    <row r="1584" spans="1:6" ht="15">
      <c r="A1584" s="2" t="s">
        <v>544</v>
      </c>
      <c r="B1584" s="1" t="s">
        <v>545</v>
      </c>
      <c r="C1584" s="1" t="s">
        <v>546</v>
      </c>
      <c r="D1584" s="1" t="s">
        <v>4430</v>
      </c>
      <c r="F1584" s="6" t="str">
        <f>HYPERLINK("https://library.georgiasouthern.edu/statesboro/henderson-library/")</f>
        <v>https://library.georgiasouthern.edu/statesboro/henderson-library/</v>
      </c>
    </row>
    <row r="1585" spans="1:6" ht="15">
      <c r="A1585" s="2" t="s">
        <v>3046</v>
      </c>
      <c r="B1585" s="1" t="s">
        <v>3047</v>
      </c>
      <c r="C1585" s="1" t="s">
        <v>3048</v>
      </c>
      <c r="D1585" s="1" t="s">
        <v>5180</v>
      </c>
      <c r="E1585" s="5" t="str">
        <f>HYPERLINK("mailto:library@yhc.edu","library@yhc.edu")</f>
        <v>library@yhc.edu</v>
      </c>
      <c r="F1585" s="6" t="str">
        <f>HYPERLINK("https://www.yhc.edu/library")</f>
        <v>https://www.yhc.edu/library</v>
      </c>
    </row>
  </sheetData>
  <sheetProtection/>
  <printOptions/>
  <pageMargins left="0.25" right="0.25" top="0.75" bottom="0.75" header="0.3" footer="0.3"/>
  <pageSetup horizontalDpi="600" verticalDpi="600" orientation="landscape" pageOrder="overThenDown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 L Mastrovita</dc:creator>
  <cp:keywords/>
  <dc:description/>
  <cp:lastModifiedBy>Mandy L Mastrovita</cp:lastModifiedBy>
  <cp:lastPrinted>2022-08-25T16:21:43Z</cp:lastPrinted>
  <dcterms:created xsi:type="dcterms:W3CDTF">2022-08-25T15:34:49Z</dcterms:created>
  <dcterms:modified xsi:type="dcterms:W3CDTF">2022-08-25T16:22:04Z</dcterms:modified>
  <cp:category/>
  <cp:version/>
  <cp:contentType/>
  <cp:contentStatus/>
</cp:coreProperties>
</file>